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_{7AE1C0C9-CADC-4397-942B-E26A9524DB57}" xr6:coauthVersionLast="47" xr6:coauthVersionMax="47" xr10:uidLastSave="{00000000-0000-0000-0000-000000000000}"/>
  <bookViews>
    <workbookView xWindow="-110" yWindow="-110" windowWidth="19420" windowHeight="10420" tabRatio="976" xr2:uid="{00000000-000D-0000-FFFF-FFFF00000000}"/>
  </bookViews>
  <sheets>
    <sheet name="MENU" sheetId="22" r:id="rId1"/>
    <sheet name="Relevantes" sheetId="2" r:id="rId2"/>
    <sheet name="Balance" sheetId="3" r:id="rId3"/>
    <sheet name="Recursos" sheetId="4" r:id="rId4"/>
    <sheet name="Credito Performing" sheetId="20" r:id="rId5"/>
    <sheet name="Riesgo de crédito por Stage" sheetId="23" r:id="rId6"/>
    <sheet name="Dudosos (I)" sheetId="21" r:id="rId7"/>
    <sheet name="Dudosos (II)" sheetId="10" r:id="rId8"/>
    <sheet name="Adjudicados (I)" sheetId="8" r:id="rId9"/>
    <sheet name="Adjudicados (II)" sheetId="11" r:id="rId10"/>
    <sheet name="Resultados" sheetId="9" r:id="rId11"/>
    <sheet name="Rend &amp; Costes" sheetId="12" r:id="rId12"/>
    <sheet name="Comisiones" sheetId="14" r:id="rId13"/>
    <sheet name="Liquidez" sheetId="17" r:id="rId14"/>
    <sheet name="Solvencia" sheetId="19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0" l="1"/>
  <c r="D16" i="23" l="1"/>
  <c r="D17" i="23"/>
  <c r="D18" i="23"/>
  <c r="E16" i="23"/>
  <c r="E17" i="23"/>
  <c r="E18" i="23"/>
  <c r="C16" i="23"/>
  <c r="C17" i="23"/>
  <c r="C18" i="23"/>
  <c r="F46" i="2"/>
  <c r="H33" i="2"/>
  <c r="H47" i="2" l="1"/>
  <c r="B2" i="20"/>
  <c r="E2" i="20" s="1"/>
  <c r="H34" i="2"/>
  <c r="H45" i="2"/>
  <c r="H46" i="2"/>
  <c r="G34" i="2"/>
  <c r="G10" i="23"/>
  <c r="H10" i="23"/>
  <c r="H7" i="23"/>
  <c r="G7" i="23"/>
  <c r="F34" i="2"/>
  <c r="G46" i="2"/>
  <c r="G11" i="23"/>
  <c r="H11" i="23"/>
  <c r="F47" i="2"/>
  <c r="G12" i="23"/>
  <c r="H12" i="23"/>
  <c r="G47" i="2"/>
  <c r="F45" i="2"/>
  <c r="B2" i="4"/>
  <c r="G4" i="23"/>
  <c r="H4" i="23"/>
  <c r="F33" i="2"/>
  <c r="G45" i="2"/>
  <c r="H5" i="23"/>
  <c r="G5" i="23"/>
  <c r="G33" i="2"/>
  <c r="H6" i="23"/>
  <c r="G6" i="23"/>
  <c r="C2" i="20" l="1"/>
  <c r="D2" i="20"/>
  <c r="C2" i="4"/>
  <c r="E2" i="4"/>
  <c r="D2" i="4"/>
  <c r="B2" i="21" l="1"/>
  <c r="B1" i="14"/>
  <c r="C1" i="14" s="1"/>
  <c r="D1" i="14" s="1"/>
  <c r="E1" i="14" s="1"/>
  <c r="F1" i="14" s="1"/>
  <c r="E2" i="21" l="1"/>
  <c r="D2" i="21"/>
  <c r="C2" i="21"/>
  <c r="B3" i="19"/>
  <c r="B2" i="23"/>
  <c r="B1" i="11"/>
  <c r="B1" i="10"/>
  <c r="C1" i="10" s="1"/>
  <c r="D1" i="10" s="1"/>
  <c r="E1" i="10" s="1"/>
  <c r="F1" i="10" s="1"/>
  <c r="B2" i="3"/>
  <c r="B2" i="17"/>
  <c r="B2" i="9"/>
  <c r="B2" i="11" l="1"/>
  <c r="B14" i="17"/>
  <c r="E2" i="3"/>
  <c r="D2" i="3"/>
  <c r="E1" i="11"/>
  <c r="D1" i="11"/>
  <c r="C1" i="11"/>
  <c r="D2" i="23"/>
  <c r="E2" i="23"/>
  <c r="C3" i="19"/>
  <c r="C22" i="19" s="1"/>
  <c r="C39" i="19" s="1"/>
  <c r="B22" i="19"/>
  <c r="B39" i="19" s="1"/>
  <c r="C2" i="23"/>
  <c r="D3" i="19"/>
  <c r="D22" i="19" s="1"/>
  <c r="D39" i="19" s="1"/>
  <c r="B29" i="9"/>
  <c r="C29" i="9" s="1"/>
  <c r="D29" i="9" s="1"/>
  <c r="E29" i="9" s="1"/>
  <c r="F29" i="9" s="1"/>
  <c r="C2" i="9"/>
  <c r="C2" i="17"/>
  <c r="D2" i="17"/>
  <c r="C2" i="3"/>
  <c r="E2" i="11" l="1"/>
  <c r="D2" i="11"/>
  <c r="C2" i="11"/>
  <c r="D14" i="17"/>
  <c r="C14" i="17"/>
  <c r="B30" i="17"/>
  <c r="E17" i="17" l="1"/>
  <c r="F17" i="17" s="1"/>
  <c r="E22" i="17"/>
  <c r="F22" i="17" s="1"/>
  <c r="E16" i="17"/>
  <c r="F16" i="17" s="1"/>
  <c r="C30" i="17"/>
  <c r="B18" i="17"/>
  <c r="B23" i="17"/>
  <c r="D30" i="17"/>
  <c r="E4" i="17"/>
  <c r="E31" i="17" l="1"/>
  <c r="E32" i="17"/>
  <c r="F32" i="17"/>
  <c r="F31" i="17"/>
  <c r="D18" i="17"/>
  <c r="E18" i="17" s="1"/>
  <c r="F18" i="17" s="1"/>
  <c r="C23" i="17"/>
  <c r="C18" i="17"/>
  <c r="D23" i="17"/>
  <c r="E21" i="17"/>
  <c r="F21" i="17" s="1"/>
  <c r="B25" i="17"/>
  <c r="E15" i="17"/>
  <c r="F15" i="17" s="1"/>
  <c r="D8" i="17"/>
  <c r="C25" i="17" l="1"/>
  <c r="D25" i="17"/>
  <c r="E25" i="17" s="1"/>
  <c r="F25" i="17" s="1"/>
  <c r="E23" i="17"/>
  <c r="F23" i="17" s="1"/>
  <c r="F11" i="23"/>
  <c r="B17" i="23"/>
  <c r="F5" i="23"/>
  <c r="F10" i="23"/>
  <c r="H17" i="23" l="1"/>
  <c r="G17" i="23"/>
  <c r="F17" i="23"/>
  <c r="F6" i="23" l="1"/>
  <c r="F4" i="23" l="1"/>
  <c r="B16" i="23"/>
  <c r="H16" i="23" l="1"/>
  <c r="G16" i="23"/>
  <c r="F16" i="23"/>
  <c r="F7" i="23" l="1"/>
  <c r="F12" i="23" l="1"/>
  <c r="B18" i="23"/>
  <c r="H18" i="23" l="1"/>
  <c r="G18" i="23"/>
  <c r="F18" i="23"/>
  <c r="E16" i="3" l="1"/>
  <c r="E7" i="17"/>
  <c r="F7" i="17" s="1"/>
  <c r="E6" i="17" l="1"/>
  <c r="F6" i="17" s="1"/>
  <c r="B8" i="17"/>
  <c r="E8" i="17" s="1"/>
  <c r="F8" i="17" s="1"/>
  <c r="B5" i="17" l="1"/>
  <c r="B10" i="17" l="1"/>
  <c r="H14" i="3" l="1"/>
  <c r="H13" i="3"/>
  <c r="H12" i="3"/>
  <c r="H11" i="3"/>
  <c r="H10" i="3"/>
  <c r="H8" i="3"/>
  <c r="H7" i="3"/>
  <c r="H5" i="3"/>
  <c r="H4" i="3"/>
  <c r="H3" i="3"/>
  <c r="H9" i="3" l="1"/>
  <c r="H15" i="3"/>
  <c r="F15" i="3"/>
  <c r="G15" i="3"/>
  <c r="B33" i="3"/>
  <c r="B16" i="3"/>
  <c r="H16" i="3" s="1"/>
  <c r="H6" i="3" l="1"/>
  <c r="B29" i="3"/>
  <c r="B34" i="3" l="1"/>
  <c r="D8" i="11" l="1"/>
  <c r="F10" i="2" l="1"/>
  <c r="F4" i="2"/>
  <c r="F9" i="2"/>
  <c r="D17" i="9" l="1"/>
  <c r="E17" i="9" s="1"/>
  <c r="D10" i="9"/>
  <c r="E10" i="9" s="1"/>
  <c r="D6" i="9"/>
  <c r="E6" i="9" s="1"/>
  <c r="D22" i="9"/>
  <c r="E22" i="9" s="1"/>
  <c r="D15" i="9"/>
  <c r="E15" i="9" s="1"/>
  <c r="D9" i="9"/>
  <c r="E9" i="9" s="1"/>
  <c r="D7" i="9"/>
  <c r="E7" i="9" s="1"/>
  <c r="D20" i="9"/>
  <c r="E20" i="9" s="1"/>
  <c r="D14" i="9"/>
  <c r="E14" i="9" s="1"/>
  <c r="D8" i="9"/>
  <c r="E8" i="9" s="1"/>
  <c r="D13" i="9"/>
  <c r="E13" i="9" s="1"/>
  <c r="D18" i="9"/>
  <c r="E18" i="9" s="1"/>
  <c r="D3" i="9" l="1"/>
  <c r="E3" i="9" s="1"/>
  <c r="D4" i="9"/>
  <c r="E4" i="9" s="1"/>
  <c r="D5" i="9"/>
  <c r="E5" i="9" s="1"/>
  <c r="F4" i="3" l="1"/>
  <c r="F14" i="3"/>
  <c r="F3" i="3"/>
  <c r="F13" i="3"/>
  <c r="F12" i="3"/>
  <c r="F8" i="3"/>
  <c r="F10" i="3"/>
  <c r="F7" i="3"/>
  <c r="F5" i="3"/>
  <c r="F11" i="3"/>
  <c r="F18" i="4"/>
  <c r="F31" i="3"/>
  <c r="F26" i="3"/>
  <c r="F24" i="3"/>
  <c r="F20" i="3"/>
  <c r="F28" i="3"/>
  <c r="F22" i="3"/>
  <c r="F32" i="3"/>
  <c r="F27" i="3"/>
  <c r="F23" i="3"/>
  <c r="F21" i="3"/>
  <c r="F25" i="3"/>
  <c r="F9" i="3" l="1"/>
  <c r="C33" i="3"/>
  <c r="F33" i="3" s="1"/>
  <c r="F30" i="3"/>
  <c r="F18" i="3"/>
  <c r="F6" i="3"/>
  <c r="G8" i="3"/>
  <c r="G7" i="3"/>
  <c r="G18" i="4"/>
  <c r="G31" i="3"/>
  <c r="G28" i="3"/>
  <c r="G26" i="3"/>
  <c r="G24" i="3"/>
  <c r="G22" i="3"/>
  <c r="G20" i="3"/>
  <c r="G14" i="3"/>
  <c r="G12" i="3"/>
  <c r="G10" i="3"/>
  <c r="G5" i="3"/>
  <c r="G3" i="3"/>
  <c r="G11" i="3"/>
  <c r="G13" i="3"/>
  <c r="G32" i="3"/>
  <c r="G27" i="3"/>
  <c r="G23" i="3"/>
  <c r="G25" i="3"/>
  <c r="G21" i="3"/>
  <c r="G4" i="3"/>
  <c r="D33" i="3" l="1"/>
  <c r="G33" i="3" s="1"/>
  <c r="G30" i="3"/>
  <c r="G9" i="3"/>
  <c r="G18" i="3"/>
  <c r="C16" i="3"/>
  <c r="F16" i="3" s="1"/>
  <c r="H31" i="3"/>
  <c r="H28" i="3"/>
  <c r="H26" i="3"/>
  <c r="H24" i="3"/>
  <c r="H22" i="3"/>
  <c r="H20" i="3"/>
  <c r="H32" i="3"/>
  <c r="H27" i="3"/>
  <c r="H25" i="3"/>
  <c r="H23" i="3"/>
  <c r="H21" i="3"/>
  <c r="G6" i="3"/>
  <c r="G19" i="3"/>
  <c r="E33" i="3" l="1"/>
  <c r="H33" i="3" s="1"/>
  <c r="H30" i="3"/>
  <c r="D29" i="3"/>
  <c r="H18" i="3"/>
  <c r="D16" i="3"/>
  <c r="G16" i="3" s="1"/>
  <c r="H19" i="3"/>
  <c r="E29" i="3" l="1"/>
  <c r="D34" i="3"/>
  <c r="G34" i="3" s="1"/>
  <c r="G29" i="3"/>
  <c r="E34" i="3" l="1"/>
  <c r="H34" i="3" s="1"/>
  <c r="H29" i="3"/>
  <c r="G9" i="2" l="1"/>
  <c r="G10" i="2"/>
  <c r="G4" i="2"/>
  <c r="H13" i="2" l="1"/>
  <c r="H9" i="2"/>
  <c r="H16" i="2"/>
  <c r="H14" i="2"/>
  <c r="H10" i="2"/>
  <c r="H4" i="2"/>
  <c r="H15" i="2" l="1"/>
  <c r="E8" i="11" l="1"/>
  <c r="F19" i="3" l="1"/>
  <c r="C29" i="3"/>
  <c r="C34" i="3" l="1"/>
  <c r="F34" i="3" s="1"/>
  <c r="F29" i="3"/>
  <c r="C8" i="11" l="1"/>
  <c r="B8" i="11"/>
  <c r="G22" i="2" l="1"/>
  <c r="F22" i="2"/>
  <c r="G26" i="2"/>
  <c r="H22" i="2"/>
  <c r="F26" i="2"/>
  <c r="H26" i="2" l="1"/>
  <c r="D12" i="9" l="1"/>
  <c r="E12" i="9" s="1"/>
  <c r="D11" i="9" l="1"/>
  <c r="E11" i="9" s="1"/>
  <c r="D16" i="9" l="1"/>
  <c r="E16" i="9" s="1"/>
  <c r="D19" i="9" l="1"/>
  <c r="E19" i="9" s="1"/>
  <c r="D21" i="9" l="1"/>
  <c r="E21" i="9" s="1"/>
  <c r="D23" i="9" l="1"/>
  <c r="E23" i="9" s="1"/>
  <c r="D25" i="9"/>
  <c r="E25" i="9" s="1"/>
  <c r="D26" i="9"/>
  <c r="E26" i="9" s="1"/>
  <c r="F10" i="20" l="1"/>
  <c r="B23" i="21" l="1"/>
  <c r="B24" i="21" l="1"/>
  <c r="B22" i="21" l="1"/>
  <c r="F7" i="20"/>
  <c r="B20" i="21" l="1"/>
  <c r="B44" i="21" l="1"/>
  <c r="B43" i="21"/>
  <c r="B19" i="21"/>
  <c r="B21" i="21" l="1"/>
  <c r="B45" i="21"/>
  <c r="B42" i="21" l="1"/>
  <c r="B18" i="21"/>
  <c r="B17" i="21" l="1"/>
  <c r="B16" i="21" l="1"/>
  <c r="F8" i="20"/>
  <c r="F3" i="20"/>
  <c r="B7" i="10" l="1"/>
  <c r="B25" i="21"/>
  <c r="F6" i="20"/>
  <c r="F5" i="20" l="1"/>
  <c r="B47" i="21" l="1"/>
  <c r="B48" i="21" l="1"/>
  <c r="B46" i="21" l="1"/>
  <c r="B41" i="21" l="1"/>
  <c r="H8" i="20" l="1"/>
  <c r="H6" i="20"/>
  <c r="H7" i="20"/>
  <c r="H5" i="20" l="1"/>
  <c r="H10" i="20"/>
  <c r="H31" i="21" l="1"/>
  <c r="H35" i="21"/>
  <c r="H33" i="21"/>
  <c r="H32" i="21"/>
  <c r="H30" i="21" l="1"/>
  <c r="E19" i="21"/>
  <c r="H19" i="21" s="1"/>
  <c r="H7" i="21"/>
  <c r="E43" i="21"/>
  <c r="H43" i="21" s="1"/>
  <c r="H11" i="20"/>
  <c r="H12" i="21"/>
  <c r="E24" i="21" l="1"/>
  <c r="H24" i="21" s="1"/>
  <c r="E23" i="21"/>
  <c r="H23" i="21" s="1"/>
  <c r="H11" i="21"/>
  <c r="E47" i="21"/>
  <c r="H47" i="21" s="1"/>
  <c r="E20" i="21"/>
  <c r="H20" i="21" s="1"/>
  <c r="H8" i="21"/>
  <c r="E44" i="21"/>
  <c r="H44" i="21" s="1"/>
  <c r="E48" i="21"/>
  <c r="H48" i="21" s="1"/>
  <c r="H36" i="21"/>
  <c r="H9" i="20"/>
  <c r="H10" i="21"/>
  <c r="E22" i="21" l="1"/>
  <c r="H22" i="21" s="1"/>
  <c r="H4" i="20"/>
  <c r="E46" i="21"/>
  <c r="H46" i="21" s="1"/>
  <c r="H34" i="21"/>
  <c r="E21" i="21" l="1"/>
  <c r="H21" i="21" s="1"/>
  <c r="H9" i="21"/>
  <c r="E45" i="21"/>
  <c r="H45" i="21" s="1"/>
  <c r="H29" i="21"/>
  <c r="E18" i="21" l="1"/>
  <c r="H18" i="21" s="1"/>
  <c r="H6" i="21"/>
  <c r="E42" i="21"/>
  <c r="H42" i="21" s="1"/>
  <c r="E19" i="23"/>
  <c r="G12" i="21"/>
  <c r="F12" i="21"/>
  <c r="G7" i="21" l="1"/>
  <c r="C23" i="21"/>
  <c r="F23" i="21" s="1"/>
  <c r="F11" i="21"/>
  <c r="G11" i="21"/>
  <c r="C20" i="21"/>
  <c r="F20" i="21" s="1"/>
  <c r="F8" i="21"/>
  <c r="G8" i="21"/>
  <c r="C21" i="21"/>
  <c r="F21" i="21" s="1"/>
  <c r="F9" i="21"/>
  <c r="G9" i="21"/>
  <c r="H5" i="21"/>
  <c r="E17" i="21"/>
  <c r="H17" i="21" s="1"/>
  <c r="E41" i="21"/>
  <c r="H41" i="21" s="1"/>
  <c r="C19" i="21"/>
  <c r="F19" i="21" s="1"/>
  <c r="F7" i="21"/>
  <c r="D4" i="10"/>
  <c r="E4" i="10"/>
  <c r="F10" i="21"/>
  <c r="G10" i="21"/>
  <c r="G6" i="21" l="1"/>
  <c r="C18" i="21"/>
  <c r="F18" i="21" s="1"/>
  <c r="F6" i="21"/>
  <c r="E40" i="21"/>
  <c r="H4" i="21"/>
  <c r="C4" i="10"/>
  <c r="G5" i="21"/>
  <c r="F5" i="21"/>
  <c r="H13" i="21" l="1"/>
  <c r="E49" i="21"/>
  <c r="H21" i="2"/>
  <c r="C16" i="21" l="1"/>
  <c r="F16" i="21" s="1"/>
  <c r="F4" i="21"/>
  <c r="G4" i="21"/>
  <c r="H23" i="2"/>
  <c r="G3" i="20"/>
  <c r="G10" i="20" l="1"/>
  <c r="D23" i="21"/>
  <c r="G23" i="21" s="1"/>
  <c r="G6" i="20"/>
  <c r="D19" i="21"/>
  <c r="G19" i="21" s="1"/>
  <c r="G7" i="20"/>
  <c r="D20" i="21"/>
  <c r="G20" i="21" s="1"/>
  <c r="G8" i="20"/>
  <c r="D21" i="21"/>
  <c r="G21" i="21" s="1"/>
  <c r="C7" i="10"/>
  <c r="F13" i="21"/>
  <c r="G13" i="21"/>
  <c r="D16" i="21"/>
  <c r="G16" i="21" s="1"/>
  <c r="F21" i="2"/>
  <c r="G21" i="2"/>
  <c r="G5" i="20" l="1"/>
  <c r="D18" i="21"/>
  <c r="G18" i="21" s="1"/>
  <c r="C24" i="21"/>
  <c r="F24" i="21" s="1"/>
  <c r="F11" i="20"/>
  <c r="F23" i="2"/>
  <c r="G23" i="2"/>
  <c r="D24" i="21" l="1"/>
  <c r="G24" i="21" s="1"/>
  <c r="G11" i="20"/>
  <c r="C22" i="21"/>
  <c r="F22" i="21" s="1"/>
  <c r="F9" i="20"/>
  <c r="C17" i="21" l="1"/>
  <c r="F17" i="21" s="1"/>
  <c r="F4" i="20"/>
  <c r="D22" i="21"/>
  <c r="G22" i="21" s="1"/>
  <c r="G9" i="20"/>
  <c r="C5" i="17"/>
  <c r="D17" i="21" l="1"/>
  <c r="G17" i="21" s="1"/>
  <c r="G4" i="20"/>
  <c r="F12" i="20"/>
  <c r="C25" i="21"/>
  <c r="F25" i="21" s="1"/>
  <c r="F5" i="2"/>
  <c r="F24" i="2"/>
  <c r="F28" i="2"/>
  <c r="F29" i="2"/>
  <c r="G12" i="20" l="1"/>
  <c r="D25" i="21"/>
  <c r="G25" i="21" s="1"/>
  <c r="G5" i="2"/>
  <c r="G24" i="2"/>
  <c r="F6" i="2"/>
  <c r="G6" i="2" l="1"/>
  <c r="C43" i="21" l="1"/>
  <c r="F43" i="21" s="1"/>
  <c r="F31" i="21"/>
  <c r="D45" i="21"/>
  <c r="G45" i="21" s="1"/>
  <c r="G33" i="21"/>
  <c r="C45" i="21"/>
  <c r="F45" i="21" s="1"/>
  <c r="F33" i="21"/>
  <c r="D47" i="21"/>
  <c r="G47" i="21" s="1"/>
  <c r="G35" i="21"/>
  <c r="C47" i="21"/>
  <c r="F47" i="21" s="1"/>
  <c r="F35" i="21"/>
  <c r="D44" i="21"/>
  <c r="G44" i="21" s="1"/>
  <c r="G32" i="21"/>
  <c r="C44" i="21"/>
  <c r="F44" i="21" s="1"/>
  <c r="F32" i="21"/>
  <c r="D43" i="21"/>
  <c r="G43" i="21" s="1"/>
  <c r="G31" i="21"/>
  <c r="D40" i="21"/>
  <c r="C40" i="21"/>
  <c r="C42" i="21" l="1"/>
  <c r="F42" i="21" s="1"/>
  <c r="F30" i="21"/>
  <c r="D42" i="21"/>
  <c r="G42" i="21" s="1"/>
  <c r="G30" i="21"/>
  <c r="D48" i="21" l="1"/>
  <c r="G48" i="21" s="1"/>
  <c r="G36" i="21"/>
  <c r="C48" i="21"/>
  <c r="F48" i="21" s="1"/>
  <c r="F36" i="21"/>
  <c r="G28" i="21" l="1"/>
  <c r="F28" i="21"/>
  <c r="H28" i="21"/>
  <c r="B40" i="21"/>
  <c r="C46" i="21"/>
  <c r="F46" i="21" s="1"/>
  <c r="F34" i="21"/>
  <c r="D46" i="21"/>
  <c r="G46" i="21" s="1"/>
  <c r="G34" i="21"/>
  <c r="C41" i="21" l="1"/>
  <c r="F41" i="21" s="1"/>
  <c r="F29" i="21"/>
  <c r="H40" i="21"/>
  <c r="G40" i="21"/>
  <c r="F40" i="21"/>
  <c r="D41" i="21"/>
  <c r="G41" i="21" s="1"/>
  <c r="G29" i="21"/>
  <c r="H37" i="21"/>
  <c r="B49" i="21"/>
  <c r="H25" i="2"/>
  <c r="D49" i="21"/>
  <c r="C49" i="21"/>
  <c r="H13" i="23" l="1"/>
  <c r="B19" i="23"/>
  <c r="G37" i="21"/>
  <c r="H49" i="21"/>
  <c r="F49" i="21"/>
  <c r="G49" i="21"/>
  <c r="F37" i="21"/>
  <c r="H27" i="2"/>
  <c r="C19" i="23"/>
  <c r="F25" i="2"/>
  <c r="D19" i="23"/>
  <c r="G19" i="23" l="1"/>
  <c r="H19" i="23"/>
  <c r="F19" i="23"/>
  <c r="G13" i="23"/>
  <c r="F13" i="23"/>
  <c r="G25" i="2"/>
  <c r="F27" i="2"/>
  <c r="G27" i="2" l="1"/>
  <c r="G32" i="2" l="1"/>
  <c r="G17" i="2" l="1"/>
  <c r="H17" i="2"/>
  <c r="F17" i="2"/>
  <c r="H18" i="2" l="1"/>
  <c r="F9" i="4" l="1"/>
  <c r="F17" i="4" l="1"/>
  <c r="F16" i="4"/>
  <c r="F12" i="4"/>
  <c r="F13" i="4"/>
  <c r="F11" i="4" l="1"/>
  <c r="F10" i="4" l="1"/>
  <c r="G9" i="4" l="1"/>
  <c r="G13" i="4" l="1"/>
  <c r="G17" i="4"/>
  <c r="G8" i="4"/>
  <c r="G16" i="4"/>
  <c r="G12" i="4"/>
  <c r="G24" i="4" l="1"/>
  <c r="G11" i="4"/>
  <c r="G10" i="4" l="1"/>
  <c r="H9" i="4" l="1"/>
  <c r="H16" i="4" l="1"/>
  <c r="H17" i="4"/>
  <c r="H13" i="4"/>
  <c r="H12" i="4"/>
  <c r="H11" i="4" l="1"/>
  <c r="H10" i="4" l="1"/>
  <c r="G25" i="4" l="1"/>
  <c r="F25" i="4"/>
  <c r="H25" i="4"/>
  <c r="F27" i="4" l="1"/>
  <c r="H27" i="4"/>
  <c r="G27" i="4"/>
  <c r="H5" i="4" l="1"/>
  <c r="H7" i="4" l="1"/>
  <c r="H22" i="4"/>
  <c r="H18" i="4" l="1"/>
  <c r="H23" i="4"/>
  <c r="H8" i="4" l="1"/>
  <c r="H24" i="4" l="1"/>
  <c r="H6" i="4"/>
  <c r="H4" i="4" l="1"/>
  <c r="G5" i="4"/>
  <c r="H21" i="4"/>
  <c r="G22" i="4" l="1"/>
  <c r="H3" i="4"/>
  <c r="G7" i="4"/>
  <c r="F5" i="4" l="1"/>
  <c r="G23" i="4"/>
  <c r="G6" i="4"/>
  <c r="G21" i="4" l="1"/>
  <c r="F22" i="4"/>
  <c r="F7" i="4"/>
  <c r="G4" i="4"/>
  <c r="F23" i="4" l="1"/>
  <c r="G3" i="4"/>
  <c r="F8" i="4" l="1"/>
  <c r="F24" i="4" l="1"/>
  <c r="F6" i="4"/>
  <c r="H15" i="4" l="1"/>
  <c r="F15" i="4"/>
  <c r="G15" i="4"/>
  <c r="F4" i="4"/>
  <c r="F21" i="4"/>
  <c r="G14" i="4" l="1"/>
  <c r="H14" i="4"/>
  <c r="F14" i="4"/>
  <c r="F3" i="4"/>
  <c r="F26" i="4" l="1"/>
  <c r="G26" i="4"/>
  <c r="H26" i="4"/>
  <c r="H19" i="4"/>
  <c r="G19" i="4"/>
  <c r="F19" i="4"/>
  <c r="H8" i="2" l="1"/>
  <c r="G8" i="2"/>
  <c r="F8" i="2"/>
  <c r="G20" i="4"/>
  <c r="H20" i="4"/>
  <c r="F20" i="4"/>
  <c r="F7" i="2" l="1"/>
  <c r="H7" i="2"/>
  <c r="G7" i="2"/>
  <c r="G29" i="2" l="1"/>
  <c r="G28" i="2"/>
  <c r="F18" i="2" l="1"/>
  <c r="G18" i="2"/>
  <c r="C8" i="17" l="1"/>
  <c r="C10" i="17" s="1"/>
  <c r="F32" i="2" l="1"/>
  <c r="H3" i="20" l="1"/>
  <c r="E16" i="21"/>
  <c r="H16" i="21" s="1"/>
  <c r="H12" i="20" l="1"/>
  <c r="E25" i="21"/>
  <c r="H25" i="21" s="1"/>
  <c r="H5" i="2"/>
  <c r="H24" i="2"/>
  <c r="H6" i="2" l="1"/>
  <c r="H29" i="2" l="1"/>
  <c r="H28" i="2"/>
  <c r="D5" i="17"/>
  <c r="E3" i="17"/>
  <c r="F3" i="17" s="1"/>
  <c r="H32" i="2"/>
  <c r="D10" i="17" l="1"/>
  <c r="F10" i="17" s="1"/>
  <c r="E5" i="17"/>
  <c r="F5" i="17" s="1"/>
  <c r="F32" i="19" l="1"/>
  <c r="E32" i="19"/>
  <c r="F31" i="19"/>
  <c r="E31" i="19"/>
  <c r="E28" i="19"/>
  <c r="F28" i="19"/>
  <c r="F9" i="19"/>
  <c r="E9" i="19"/>
  <c r="E10" i="19"/>
  <c r="F10" i="19"/>
  <c r="F29" i="19"/>
  <c r="E29" i="19"/>
  <c r="E12" i="19"/>
  <c r="F12" i="19"/>
  <c r="F30" i="19"/>
  <c r="E30" i="19"/>
  <c r="E6" i="19"/>
  <c r="F6" i="19"/>
  <c r="F7" i="19"/>
  <c r="E7" i="19"/>
  <c r="F13" i="19"/>
  <c r="E13" i="19"/>
  <c r="E25" i="19"/>
  <c r="F25" i="19"/>
  <c r="F8" i="19"/>
  <c r="E8" i="19"/>
  <c r="E11" i="19"/>
  <c r="F11" i="19"/>
  <c r="E26" i="19"/>
  <c r="F26" i="19"/>
  <c r="E27" i="19"/>
  <c r="F27" i="19"/>
  <c r="E35" i="19" l="1"/>
  <c r="E5" i="19"/>
  <c r="E15" i="19"/>
  <c r="E34" i="19"/>
  <c r="E16" i="19"/>
  <c r="B41" i="19" l="1"/>
  <c r="C42" i="19"/>
  <c r="C44" i="19" s="1"/>
  <c r="C41" i="19"/>
  <c r="E14" i="19" l="1"/>
  <c r="B42" i="19"/>
  <c r="B44" i="19" s="1"/>
  <c r="E17" i="19"/>
  <c r="F35" i="19" l="1"/>
  <c r="F16" i="19"/>
  <c r="E4" i="19"/>
  <c r="E24" i="19" l="1"/>
  <c r="E23" i="19" l="1"/>
  <c r="E33" i="19"/>
  <c r="E36" i="19" l="1"/>
  <c r="F34" i="19" l="1"/>
  <c r="F15" i="19"/>
  <c r="F5" i="19" l="1"/>
  <c r="F24" i="19"/>
  <c r="F33" i="19" l="1"/>
  <c r="F23" i="19"/>
  <c r="F4" i="19"/>
  <c r="D41" i="19" l="1"/>
  <c r="F14" i="19"/>
  <c r="F36" i="19"/>
  <c r="D42" i="19" l="1"/>
  <c r="D44" i="19" s="1"/>
  <c r="F17" i="19"/>
  <c r="G39" i="2" l="1"/>
  <c r="H39" i="2"/>
  <c r="F39" i="2"/>
  <c r="G37" i="2"/>
  <c r="F37" i="2"/>
  <c r="H37" i="2"/>
  <c r="H40" i="2"/>
  <c r="G40" i="2"/>
  <c r="F40" i="2"/>
  <c r="H41" i="2"/>
  <c r="F41" i="2"/>
  <c r="G41" i="2"/>
  <c r="F38" i="2"/>
  <c r="H38" i="2"/>
  <c r="G38" i="2"/>
  <c r="I10" i="10" l="1"/>
  <c r="H10" i="10"/>
  <c r="G10" i="10" l="1"/>
  <c r="H42" i="2" l="1"/>
  <c r="F42" i="2"/>
  <c r="G42" i="2"/>
</calcChain>
</file>

<file path=xl/sharedStrings.xml><?xml version="1.0" encoding="utf-8"?>
<sst xmlns="http://schemas.openxmlformats.org/spreadsheetml/2006/main" count="459" uniqueCount="287">
  <si>
    <t>LCR</t>
  </si>
  <si>
    <t>NSFR</t>
  </si>
  <si>
    <t>MENU</t>
  </si>
  <si>
    <t>Loan to deposits</t>
  </si>
  <si>
    <t>I.F.: Ingresos financieros</t>
  </si>
  <si>
    <t>C.F.: Costes financieros</t>
  </si>
  <si>
    <t>S.P.: Sector privado</t>
  </si>
  <si>
    <t>(*) I.F. Crédito a Clientes neto menos C.F. Depósitos de clientes</t>
  </si>
  <si>
    <t>RATIOS DE LIQUIDEZ</t>
  </si>
  <si>
    <t xml:space="preserve">1. Datos Relevantes </t>
  </si>
  <si>
    <t>2. Total Balance</t>
  </si>
  <si>
    <t>3. Recursos</t>
  </si>
  <si>
    <t>4. Crédito performing</t>
  </si>
  <si>
    <t>RESULTADOS</t>
  </si>
  <si>
    <t>DATOS RELEVANTES</t>
  </si>
  <si>
    <t>Millones de euros / % / pp</t>
  </si>
  <si>
    <t>BALANCE</t>
  </si>
  <si>
    <t>Recursos captados fuera de balance y seguros</t>
  </si>
  <si>
    <t>RESULTADOS (acumulado en el año)</t>
  </si>
  <si>
    <t>GESTIÓN DEL RIESGO</t>
  </si>
  <si>
    <t>LIQUIDEZ</t>
  </si>
  <si>
    <t>SOLVENCIA</t>
  </si>
  <si>
    <t>Ratio Texas</t>
  </si>
  <si>
    <t>OTROS DATOS</t>
  </si>
  <si>
    <t>Oficinas en España</t>
  </si>
  <si>
    <t>Cajeros</t>
  </si>
  <si>
    <t>RATIOS PHASE IN</t>
  </si>
  <si>
    <t>Millones € y %</t>
  </si>
  <si>
    <t>Recursos propios computables</t>
  </si>
  <si>
    <t>Capital de nivel I ordinario (BIS III)</t>
  </si>
  <si>
    <t>Capital</t>
  </si>
  <si>
    <t>Reservas</t>
  </si>
  <si>
    <t>Resultado atribuido al Grupo neto de dividendo</t>
  </si>
  <si>
    <t>Deducciones</t>
  </si>
  <si>
    <t>Otros (1)</t>
  </si>
  <si>
    <t>Capital de nivel I</t>
  </si>
  <si>
    <t>Capital de nivel II</t>
  </si>
  <si>
    <t>Activos ponderados por riesgo</t>
  </si>
  <si>
    <t>Capital de nivel I ordinario (BIS III) (%)</t>
  </si>
  <si>
    <t>Coeficiente de Solvencia - Ratio Total Capital (%)</t>
  </si>
  <si>
    <t>(1) autocartera, minoritarios y plusvalías en activos financieros en otro resultado global y período transitorio IFRS9</t>
  </si>
  <si>
    <t>RATIOS FULLY LOADED</t>
  </si>
  <si>
    <t>Otros (Autocartera, minoritarios y plusvalías otro rdo. Global)</t>
  </si>
  <si>
    <t>Phase in</t>
  </si>
  <si>
    <t>Capital de nivel I ordinario (%) - CET 1 proforma</t>
  </si>
  <si>
    <t>Total capital proforma (%)</t>
  </si>
  <si>
    <t>Requerimiento Pilar 1 + 2R + Conservación- Total Capital</t>
  </si>
  <si>
    <t>Exceso Total Capital  sobre requerimiento</t>
  </si>
  <si>
    <t>Millones de euros</t>
  </si>
  <si>
    <t>Efectivo y saldo efectivo en bancos centrales</t>
  </si>
  <si>
    <t>Activos financieros para negociar y con cambios en PyG</t>
  </si>
  <si>
    <t>Activos financieros con cambios en otro rdo. global</t>
  </si>
  <si>
    <t>Préstamos y anticipos a coste amortizado</t>
  </si>
  <si>
    <t>Préstamos y anticipos a bancos centrales y ent. crédito</t>
  </si>
  <si>
    <t>Préstamos y anticipos a la clientela</t>
  </si>
  <si>
    <t>Valores representativos de deuda a coste amortizado</t>
  </si>
  <si>
    <t>Derivados  y coberturas</t>
  </si>
  <si>
    <t>Inversiones en negocios conjuntos y asociados</t>
  </si>
  <si>
    <t>Activos tangibles</t>
  </si>
  <si>
    <t>Activos intangibles</t>
  </si>
  <si>
    <t>Activos por impuestos</t>
  </si>
  <si>
    <t>TOTAL ACTIVO</t>
  </si>
  <si>
    <t>Pasivos financieros para negociar y con cambios en PyG</t>
  </si>
  <si>
    <t>Pasivos financieros a coste amortizado</t>
  </si>
  <si>
    <t>Depósitos de la clientela</t>
  </si>
  <si>
    <t>Valores representativos de deuda emitidos</t>
  </si>
  <si>
    <t>Otros pasivos financieros</t>
  </si>
  <si>
    <t>Provisiones</t>
  </si>
  <si>
    <t>Pasivos por impuestos</t>
  </si>
  <si>
    <t>Otros pasivos</t>
  </si>
  <si>
    <t>TOTAL PASIVO</t>
  </si>
  <si>
    <t>Otro resultado global acumulado</t>
  </si>
  <si>
    <t>TOTAL PATRIMONIO NETO</t>
  </si>
  <si>
    <t>TOTAL PASIVO Y PATRIMONIO NETO</t>
  </si>
  <si>
    <t>RECURSOS</t>
  </si>
  <si>
    <t>Millones de euros. No incluye aj. valoración</t>
  </si>
  <si>
    <t>Administraciones públicas</t>
  </si>
  <si>
    <t>Sector privado</t>
  </si>
  <si>
    <t xml:space="preserve">    Depósitos a la vista</t>
  </si>
  <si>
    <t xml:space="preserve">    Depósitos a plazo</t>
  </si>
  <si>
    <t>Emisiones</t>
  </si>
  <si>
    <t>Recursos fuera de balance y seguros</t>
  </si>
  <si>
    <t>TOTAL RECURSOS ADMINISTRADOS</t>
  </si>
  <si>
    <t>Recursos adm. de clientes (minoristas)</t>
  </si>
  <si>
    <t xml:space="preserve">    En balance</t>
  </si>
  <si>
    <t>Vista sector privado</t>
  </si>
  <si>
    <t>Plazo sector privado</t>
  </si>
  <si>
    <t>Otros</t>
  </si>
  <si>
    <t xml:space="preserve">    Fuera de balance y seguros</t>
  </si>
  <si>
    <t>Mercados</t>
  </si>
  <si>
    <t>CRÉDITO PERFORMING</t>
  </si>
  <si>
    <t>Crédito a Administraciones Públicas</t>
  </si>
  <si>
    <t>Crédito al Sector Privado</t>
  </si>
  <si>
    <t xml:space="preserve">  Empresas</t>
  </si>
  <si>
    <t xml:space="preserve">    Promoción y construcción inmobiliaria</t>
  </si>
  <si>
    <t xml:space="preserve">    Pymes y autónomos</t>
  </si>
  <si>
    <t xml:space="preserve">    Resto de empresas</t>
  </si>
  <si>
    <t xml:space="preserve">  Particulares</t>
  </si>
  <si>
    <t xml:space="preserve">    Garantía hipotecaria </t>
  </si>
  <si>
    <t xml:space="preserve">    Consumo y resto</t>
  </si>
  <si>
    <t>DUDOSOS</t>
  </si>
  <si>
    <t>EXPOSICIÓN BRUTA</t>
  </si>
  <si>
    <t>TOTAL SALDOS DUDOSOS</t>
  </si>
  <si>
    <t>DOTACIONES POR DETERIORO</t>
  </si>
  <si>
    <t>TOTAL DOTACIONES POR DETERIORO</t>
  </si>
  <si>
    <t>%COBERTURA</t>
  </si>
  <si>
    <t>TOTAL COBERTURA</t>
  </si>
  <si>
    <t>DUDOSOS (ii)</t>
  </si>
  <si>
    <t>EVOLUCIÓN DUDOSOS</t>
  </si>
  <si>
    <t>Saldos dudosos al inicio del período</t>
  </si>
  <si>
    <t>Saldos dudosos al cierre del período</t>
  </si>
  <si>
    <t xml:space="preserve">Entradas </t>
  </si>
  <si>
    <t>Salidas</t>
  </si>
  <si>
    <t>Ratio Texas: Dudosos más adjudicados sobre capital más provisiones por insolvencias y adjudicados</t>
  </si>
  <si>
    <t>INMUEBLES ADJUDICADOS</t>
  </si>
  <si>
    <t>VALOR BRUTO</t>
  </si>
  <si>
    <t>TOTAL ACTIVOS INMOBILIARIOS ADJUDICADOS- Valor Bruto</t>
  </si>
  <si>
    <t>DETERIORO DE VALOR ACUMULADO</t>
  </si>
  <si>
    <t>TOTAL ACTIVOS INMOBILIARIOS ADJUDICADOS- Deterioro</t>
  </si>
  <si>
    <t>TASA DE COBERTURA (%)</t>
  </si>
  <si>
    <t>TOTAL ACTIVOS INMOBILIARIOS ADJUDICADOS- Cobertura</t>
  </si>
  <si>
    <t>INMUEBLES ADJUDICADOS (ii)</t>
  </si>
  <si>
    <t>EVOLUCIÓN ACTIVOS INMOBILIARIOS ADJUDICADOS</t>
  </si>
  <si>
    <t>Act. inmob. adjudicados al inicio del período</t>
  </si>
  <si>
    <t>Act. inmob. adjudicados al cierre del período</t>
  </si>
  <si>
    <t>%Salidas trimestre sobre adjudicados inicio ejercicio</t>
  </si>
  <si>
    <t>Variación interanual</t>
  </si>
  <si>
    <t>Importe</t>
  </si>
  <si>
    <t>%</t>
  </si>
  <si>
    <t>Ingresos por Intereses</t>
  </si>
  <si>
    <t>Gastos por Intereses</t>
  </si>
  <si>
    <t>MARGEN DE INTERESES</t>
  </si>
  <si>
    <t>Dividendos</t>
  </si>
  <si>
    <t>Resultados de EVPEMP</t>
  </si>
  <si>
    <t>Ingresos por comisiones menos gastos por comisiones</t>
  </si>
  <si>
    <t>Resultado de operaciones financieras y dif. Cambio</t>
  </si>
  <si>
    <t>Otros ingresos menos otros gastos de explotación y contratos de seguro</t>
  </si>
  <si>
    <t>MARGEN BRUTO</t>
  </si>
  <si>
    <t>Gastos de administración</t>
  </si>
  <si>
    <t>Gastos de personal</t>
  </si>
  <si>
    <t>Otros gastos generales de administración</t>
  </si>
  <si>
    <t>Amortización</t>
  </si>
  <si>
    <t>MARGEN DE EXPLOTACIÓN (antes de saneamientos)</t>
  </si>
  <si>
    <t>Provisiones / reversión</t>
  </si>
  <si>
    <t>Deterioro /reversión del valor de activos financieros</t>
  </si>
  <si>
    <t>RESULTADO DE LA ACTIVIDAD DE EXPLOTACIÓN</t>
  </si>
  <si>
    <t>Deterioro/reversión del valor del resto de act.  y otr. ganancias y pérdidas (neto)</t>
  </si>
  <si>
    <t>RESULTADO ANTES DE IMPUESTOS</t>
  </si>
  <si>
    <t>Impuesto sobre beneficios</t>
  </si>
  <si>
    <t>RESULTADO DEL EJERCICIO PROCEDENTE DE OPERACIONES CONTINUADAS</t>
  </si>
  <si>
    <t>Resultado de operaciones interrumpidas (neto)</t>
  </si>
  <si>
    <t>RESULTADO CONSOLIDADO DEL EJERCICIO</t>
  </si>
  <si>
    <t>RESULTADO ATRIBUIDO A LA ENTIDAD DOMINANTE</t>
  </si>
  <si>
    <t>Otros ingresos menos otros gastos de explotación y seguro</t>
  </si>
  <si>
    <t>RENDIMIENTOS Y COSTES</t>
  </si>
  <si>
    <t>Millones euros / %</t>
  </si>
  <si>
    <t>S.medio</t>
  </si>
  <si>
    <t>IF/CF</t>
  </si>
  <si>
    <t>Tipo(%)</t>
  </si>
  <si>
    <t>I.F. Intermed. Financieros y ATAs</t>
  </si>
  <si>
    <t>I.F. Cartera Renta Fija</t>
  </si>
  <si>
    <t>I.F. Crédito a Clientes neto</t>
  </si>
  <si>
    <t>I.F. Otros activos</t>
  </si>
  <si>
    <t>C.F.  Intermed. Financ. y CTAs</t>
  </si>
  <si>
    <t>C.F. Emisiones (incl.Ced. Singulares)</t>
  </si>
  <si>
    <t>C.F. Depósitos Clientes</t>
  </si>
  <si>
    <t>Del que: Vista S.P.</t>
  </si>
  <si>
    <t>Del que: Plazo S.P.</t>
  </si>
  <si>
    <t>C.F. Pasivos Subordinados</t>
  </si>
  <si>
    <t>C.F. otros pasivos</t>
  </si>
  <si>
    <t>TOTAL PASIVO Y P.N.</t>
  </si>
  <si>
    <t>MARGEN DE CLIENTES*</t>
  </si>
  <si>
    <t>COMISIONES</t>
  </si>
  <si>
    <t>COMISIONES PERCIBIDAS</t>
  </si>
  <si>
    <t>Por servicio de cobros y pagos</t>
  </si>
  <si>
    <t>Otras comisiones</t>
  </si>
  <si>
    <t>COMISIONES PAGADAS</t>
  </si>
  <si>
    <t>COMISIONES NETAS</t>
  </si>
  <si>
    <t>Crédito a la clientela (sin ajustes ni OAF)</t>
  </si>
  <si>
    <t>-Adquisiciones temporales</t>
  </si>
  <si>
    <t>a) Crédito a clientes estricto</t>
  </si>
  <si>
    <t>Depósitos a clientes (sin ajustes)</t>
  </si>
  <si>
    <t>-Cédulas Singulares</t>
  </si>
  <si>
    <t>b) Depósitos clientes estricto</t>
  </si>
  <si>
    <t>Ltd Ratio (a/b)</t>
  </si>
  <si>
    <t>Activos líquidos</t>
  </si>
  <si>
    <t xml:space="preserve">  Punta de tesorería (1)</t>
  </si>
  <si>
    <t xml:space="preserve">  Adquisiciones temporales de activos</t>
  </si>
  <si>
    <t xml:space="preserve">  Cartera de R. fija y otros activos descontables en BCE</t>
  </si>
  <si>
    <t xml:space="preserve">  Total activos líquidos (valor de descuento en BCE)</t>
  </si>
  <si>
    <t>Activos líquidos utilizados</t>
  </si>
  <si>
    <t xml:space="preserve">  Tomado en BCE</t>
  </si>
  <si>
    <t xml:space="preserve">  Cesiones temporales de activos y otras pignoraciones</t>
  </si>
  <si>
    <t xml:space="preserve">  Total activos líquidos utilizados</t>
  </si>
  <si>
    <t>ACTIVOS LÍQUIDOS DESCONTABLES DISPONIBLES</t>
  </si>
  <si>
    <t>Porcentaje sobre total activo</t>
  </si>
  <si>
    <t>(1) Depósitos interbancarios + excedente de saldo en BCE y cuentas operativas</t>
  </si>
  <si>
    <t>Depósitos de bancos centrales</t>
  </si>
  <si>
    <t>Depósitos de entidades de crédito</t>
  </si>
  <si>
    <t>Fondos propios</t>
  </si>
  <si>
    <t>Intereses minoritarios</t>
  </si>
  <si>
    <t>INVERSIÓN CREDITICIA PERFORMING</t>
  </si>
  <si>
    <t>Entradas</t>
  </si>
  <si>
    <t>Viviendas en construcción</t>
  </si>
  <si>
    <t>Vivienda terminada</t>
  </si>
  <si>
    <t>Suelo, fincas rústicas y otros terrenos</t>
  </si>
  <si>
    <t>Oficinas, locales, naves y otros inmuebles</t>
  </si>
  <si>
    <t>QoQ</t>
  </si>
  <si>
    <t>YoY</t>
  </si>
  <si>
    <r>
      <t xml:space="preserve">Depósitos de la clientela </t>
    </r>
    <r>
      <rPr>
        <b/>
        <sz val="9"/>
        <color theme="1"/>
        <rFont val="Calibri"/>
        <family val="2"/>
      </rPr>
      <t>(excluidas cédulas)</t>
    </r>
  </si>
  <si>
    <t>6. Dudosos (I)</t>
  </si>
  <si>
    <t>7. Dudosos (II)</t>
  </si>
  <si>
    <t>8. Adjudicados (I)</t>
  </si>
  <si>
    <t>9. Adjudicados (II)</t>
  </si>
  <si>
    <t>10. Resultados</t>
  </si>
  <si>
    <t>11. Rendimientos y costes</t>
  </si>
  <si>
    <t>12. Comisiones</t>
  </si>
  <si>
    <t>5. Riesgo de crédito por Stage</t>
  </si>
  <si>
    <t>RIESGO DE CRÉDITO POR STAGE</t>
  </si>
  <si>
    <t>TOTAL EXPOSICIÓN BRUTA</t>
  </si>
  <si>
    <t xml:space="preserve">  Stage 1</t>
  </si>
  <si>
    <t xml:space="preserve">  Stage 2</t>
  </si>
  <si>
    <t xml:space="preserve">  Stage 3</t>
  </si>
  <si>
    <t>13. Liquidez</t>
  </si>
  <si>
    <t>14. Solvencia</t>
  </si>
  <si>
    <t>Empleados</t>
  </si>
  <si>
    <t>3T2022</t>
  </si>
  <si>
    <t>3T 2022</t>
  </si>
  <si>
    <t>(1) Sin ajustes por valoración ni operaciones intragrupo</t>
  </si>
  <si>
    <t>Total Activo</t>
  </si>
  <si>
    <r>
      <t xml:space="preserve">Préstamos y anticipos a la clientela Brutos </t>
    </r>
    <r>
      <rPr>
        <vertAlign val="superscript"/>
        <sz val="11"/>
        <color theme="1"/>
        <rFont val="Calibri"/>
        <family val="2"/>
        <scheme val="minor"/>
      </rPr>
      <t>(1</t>
    </r>
    <r>
      <rPr>
        <vertAlign val="superscript"/>
        <sz val="11"/>
        <color theme="1"/>
        <rFont val="Calibri"/>
        <family val="2"/>
      </rPr>
      <t>)</t>
    </r>
  </si>
  <si>
    <r>
      <t xml:space="preserve">Ptmos. y antic. clientela performing brutos </t>
    </r>
    <r>
      <rPr>
        <vertAlign val="superscript"/>
        <sz val="11"/>
        <color theme="1"/>
        <rFont val="Calibri"/>
        <family val="2"/>
        <scheme val="minor"/>
      </rPr>
      <t>(1</t>
    </r>
    <r>
      <rPr>
        <vertAlign val="superscript"/>
        <sz val="11"/>
        <color theme="1"/>
        <rFont val="Calibri"/>
        <family val="2"/>
      </rPr>
      <t>)</t>
    </r>
  </si>
  <si>
    <r>
      <t xml:space="preserve">Recursos de clientes minoristas </t>
    </r>
    <r>
      <rPr>
        <vertAlign val="superscript"/>
        <sz val="11"/>
        <color theme="1"/>
        <rFont val="Calibri"/>
        <family val="2"/>
      </rPr>
      <t>(1)</t>
    </r>
  </si>
  <si>
    <t>Fondos Propios</t>
  </si>
  <si>
    <t>Patrimonio Neto</t>
  </si>
  <si>
    <r>
      <t xml:space="preserve">Ratio de eficiencia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</si>
  <si>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Rentabilidad sobre los fondos propios tangibles ROTE </t>
    </r>
    <r>
      <rPr>
        <vertAlign val="superscript"/>
        <sz val="11"/>
        <color theme="1"/>
        <rFont val="Calibri"/>
        <family val="2"/>
        <scheme val="minor"/>
      </rPr>
      <t>(2)</t>
    </r>
  </si>
  <si>
    <t xml:space="preserve">Saldos dudosos (a) </t>
  </si>
  <si>
    <r>
      <t>Activos adjudicados Inmobiliarios brutos (b)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</si>
  <si>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>Activos no productivos -NPA- (a+b)</t>
  </si>
  <si>
    <t>Ratio de morosidad</t>
  </si>
  <si>
    <r>
      <t>Ratio de cobertura de la morosidad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</si>
  <si>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 xml:space="preserve">Ratio de cobertura de adjudicados Inmobiliarios </t>
  </si>
  <si>
    <t xml:space="preserve">Ratio de cobertura NPAs </t>
  </si>
  <si>
    <t xml:space="preserve">Coste del riesgo </t>
  </si>
  <si>
    <t>Ratio LtD</t>
  </si>
  <si>
    <t>Ratio de cobertura de liquidez (LCR)</t>
  </si>
  <si>
    <t>Ratio de financiación neta estable (NSFR)</t>
  </si>
  <si>
    <r>
      <t xml:space="preserve">Ratio CET1 </t>
    </r>
    <r>
      <rPr>
        <i/>
        <sz val="11"/>
        <color theme="1"/>
        <rFont val="Calibri"/>
        <family val="2"/>
        <scheme val="minor"/>
      </rPr>
      <t>phase in</t>
    </r>
  </si>
  <si>
    <r>
      <t>Ratio CET1</t>
    </r>
    <r>
      <rPr>
        <i/>
        <sz val="11"/>
        <color theme="1"/>
        <rFont val="Calibri"/>
        <family val="2"/>
        <scheme val="minor"/>
      </rPr>
      <t xml:space="preserve"> fully loaded</t>
    </r>
  </si>
  <si>
    <r>
      <t xml:space="preserve">Ratio de Capital Total </t>
    </r>
    <r>
      <rPr>
        <i/>
        <sz val="11"/>
        <color theme="1"/>
        <rFont val="Calibri"/>
        <family val="2"/>
        <scheme val="minor"/>
      </rPr>
      <t xml:space="preserve">phase in </t>
    </r>
  </si>
  <si>
    <r>
      <t>Ratio de Capital Total</t>
    </r>
    <r>
      <rPr>
        <i/>
        <sz val="11"/>
        <color theme="1"/>
        <rFont val="Calibri"/>
        <family val="2"/>
        <scheme val="minor"/>
      </rPr>
      <t xml:space="preserve"> fully loaded </t>
    </r>
  </si>
  <si>
    <t xml:space="preserve">Activos ponderados por riesgo (APRs) </t>
  </si>
  <si>
    <t xml:space="preserve">Ratio Texas </t>
  </si>
  <si>
    <t>RATIO DE MORA</t>
  </si>
  <si>
    <t>4T2022</t>
  </si>
  <si>
    <t>4T 2022</t>
  </si>
  <si>
    <t>Coste del riesgo recurrente</t>
  </si>
  <si>
    <t>Margen de intereses</t>
  </si>
  <si>
    <t xml:space="preserve">    Cesión temporal de activos</t>
  </si>
  <si>
    <t xml:space="preserve">      Cédulas hipotecarias</t>
  </si>
  <si>
    <t xml:space="preserve">      Otros valores</t>
  </si>
  <si>
    <t xml:space="preserve">      Pasivos subordinados</t>
  </si>
  <si>
    <t>Total recursos de balance</t>
  </si>
  <si>
    <t xml:space="preserve">  Fondos de inversión*</t>
  </si>
  <si>
    <t xml:space="preserve">  Fondos de pensiones</t>
  </si>
  <si>
    <t xml:space="preserve">  Seguros de ahorro</t>
  </si>
  <si>
    <t xml:space="preserve">  Otros patrimonios gestionados</t>
  </si>
  <si>
    <t>1T 2023</t>
  </si>
  <si>
    <t>* Excluyendo impacto del gravamen temporal a la banca que asciende a 63,8 millones de euros y se registra en el primer trimestre de 2023.</t>
  </si>
  <si>
    <t>%*</t>
  </si>
  <si>
    <t>Por seguros</t>
  </si>
  <si>
    <t>Por fondos de inversión</t>
  </si>
  <si>
    <t>Por planes de pensiones</t>
  </si>
  <si>
    <t>Margen Bruto</t>
  </si>
  <si>
    <t>Margen de explotación antes de saneamientos</t>
  </si>
  <si>
    <t>Resultado consolidado del período</t>
  </si>
  <si>
    <t>Activos no corrientes en venta y Otros activos</t>
  </si>
  <si>
    <t>TOTAL RATIO DE MORA</t>
  </si>
  <si>
    <t>Ytd</t>
  </si>
  <si>
    <t>2T 2023</t>
  </si>
  <si>
    <t>3T 2023</t>
  </si>
  <si>
    <t>(trimestres anteriores a junio de 2023 reexpresados por la primera aplicación de la NIIF 17)</t>
  </si>
  <si>
    <t>(2) En el cálculo de la ratio de eficiencia y del ROTE se ha eliminado el impacto del gravamen temporal a la banca, que en 2023 asciende a 63,8 millones de euros.</t>
  </si>
  <si>
    <t>2T 2022</t>
  </si>
  <si>
    <t>1T 2022</t>
  </si>
  <si>
    <t>9M23 vs 9M22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</si>
</sst>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0.0\ \p\p"/>
    <numFmt numFmtId="166" formatCode="0\ \p\p"/>
    <numFmt numFmtId="167" formatCode="dd/mm/yy"/>
    <numFmt numFmtId="168" formatCode="#,##0.00000"/>
    <numFmt numFmtId="169" formatCode="\+0.0\ \p\p;\ \-0.0\ \p\p"/>
    <numFmt numFmtId="170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99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8"/>
      <color theme="1"/>
      <name val="Arial Narrow"/>
      <family val="2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indent="1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0" xfId="0" applyFont="1"/>
    <xf numFmtId="0" fontId="0" fillId="0" borderId="0" xfId="0" quotePrefix="1"/>
    <xf numFmtId="3" fontId="0" fillId="0" borderId="0" xfId="0" applyNumberFormat="1"/>
    <xf numFmtId="3" fontId="3" fillId="0" borderId="0" xfId="0" applyNumberFormat="1" applyFont="1"/>
    <xf numFmtId="164" fontId="3" fillId="2" borderId="0" xfId="2" applyNumberFormat="1" applyFont="1" applyFill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7" fillId="0" borderId="0" xfId="0" applyFont="1"/>
    <xf numFmtId="0" fontId="8" fillId="0" borderId="0" xfId="0" applyFont="1"/>
    <xf numFmtId="0" fontId="0" fillId="3" borderId="0" xfId="0" applyFill="1"/>
    <xf numFmtId="1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0" fillId="0" borderId="0" xfId="0" applyNumberFormat="1"/>
    <xf numFmtId="164" fontId="1" fillId="0" borderId="0" xfId="2" applyNumberFormat="1" applyFont="1"/>
    <xf numFmtId="0" fontId="9" fillId="4" borderId="0" xfId="0" applyFont="1" applyFill="1"/>
    <xf numFmtId="0" fontId="10" fillId="4" borderId="0" xfId="0" applyFont="1" applyFill="1"/>
    <xf numFmtId="3" fontId="10" fillId="4" borderId="0" xfId="0" applyNumberFormat="1" applyFont="1" applyFill="1"/>
    <xf numFmtId="164" fontId="10" fillId="4" borderId="0" xfId="0" applyNumberFormat="1" applyFont="1" applyFill="1"/>
    <xf numFmtId="3" fontId="9" fillId="4" borderId="0" xfId="0" applyNumberFormat="1" applyFont="1" applyFill="1"/>
    <xf numFmtId="164" fontId="9" fillId="4" borderId="0" xfId="0" applyNumberFormat="1" applyFont="1" applyFill="1"/>
    <xf numFmtId="164" fontId="9" fillId="4" borderId="0" xfId="2" applyNumberFormat="1" applyFont="1" applyFill="1"/>
    <xf numFmtId="0" fontId="9" fillId="5" borderId="0" xfId="0" applyFont="1" applyFill="1"/>
    <xf numFmtId="3" fontId="9" fillId="5" borderId="0" xfId="0" applyNumberFormat="1" applyFont="1" applyFill="1"/>
    <xf numFmtId="164" fontId="9" fillId="5" borderId="0" xfId="2" applyNumberFormat="1" applyFont="1" applyFill="1"/>
    <xf numFmtId="0" fontId="9" fillId="5" borderId="4" xfId="0" applyFont="1" applyFill="1" applyBorder="1"/>
    <xf numFmtId="3" fontId="9" fillId="5" borderId="4" xfId="0" applyNumberFormat="1" applyFont="1" applyFill="1" applyBorder="1"/>
    <xf numFmtId="164" fontId="9" fillId="5" borderId="4" xfId="2" applyNumberFormat="1" applyFont="1" applyFill="1" applyBorder="1"/>
    <xf numFmtId="164" fontId="3" fillId="0" borderId="0" xfId="2" applyNumberFormat="1" applyFont="1"/>
    <xf numFmtId="0" fontId="3" fillId="6" borderId="0" xfId="0" applyFont="1" applyFill="1" applyAlignment="1">
      <alignment horizontal="left" indent="1"/>
    </xf>
    <xf numFmtId="3" fontId="3" fillId="6" borderId="0" xfId="0" applyNumberFormat="1" applyFont="1" applyFill="1"/>
    <xf numFmtId="164" fontId="3" fillId="6" borderId="0" xfId="2" applyNumberFormat="1" applyFont="1" applyFill="1"/>
    <xf numFmtId="0" fontId="3" fillId="6" borderId="0" xfId="0" applyFont="1" applyFill="1" applyAlignment="1">
      <alignment horizontal="left" indent="2"/>
    </xf>
    <xf numFmtId="0" fontId="3" fillId="6" borderId="0" xfId="0" applyFont="1" applyFill="1"/>
    <xf numFmtId="0" fontId="3" fillId="6" borderId="5" xfId="0" applyFont="1" applyFill="1" applyBorder="1"/>
    <xf numFmtId="3" fontId="3" fillId="6" borderId="5" xfId="0" applyNumberFormat="1" applyFont="1" applyFill="1" applyBorder="1"/>
    <xf numFmtId="164" fontId="3" fillId="6" borderId="5" xfId="2" applyNumberFormat="1" applyFont="1" applyFill="1" applyBorder="1"/>
    <xf numFmtId="164" fontId="3" fillId="0" borderId="0" xfId="2" applyNumberFormat="1" applyFont="1" applyAlignment="1">
      <alignment horizontal="right"/>
    </xf>
    <xf numFmtId="164" fontId="3" fillId="6" borderId="0" xfId="2" applyNumberFormat="1" applyFont="1" applyFill="1" applyAlignment="1">
      <alignment horizontal="right"/>
    </xf>
    <xf numFmtId="164" fontId="3" fillId="6" borderId="5" xfId="2" applyNumberFormat="1" applyFont="1" applyFill="1" applyBorder="1" applyAlignment="1">
      <alignment horizontal="right"/>
    </xf>
    <xf numFmtId="164" fontId="9" fillId="4" borderId="0" xfId="2" applyNumberFormat="1" applyFont="1" applyFill="1" applyAlignment="1">
      <alignment horizontal="right"/>
    </xf>
    <xf numFmtId="0" fontId="11" fillId="0" borderId="0" xfId="0" applyFont="1"/>
    <xf numFmtId="0" fontId="9" fillId="7" borderId="5" xfId="0" applyFont="1" applyFill="1" applyBorder="1"/>
    <xf numFmtId="3" fontId="9" fillId="7" borderId="5" xfId="0" applyNumberFormat="1" applyFont="1" applyFill="1" applyBorder="1"/>
    <xf numFmtId="4" fontId="9" fillId="4" borderId="0" xfId="2" applyNumberFormat="1" applyFont="1" applyFill="1"/>
    <xf numFmtId="4" fontId="0" fillId="0" borderId="0" xfId="0" applyNumberFormat="1"/>
    <xf numFmtId="4" fontId="9" fillId="4" borderId="0" xfId="0" applyNumberFormat="1" applyFont="1" applyFill="1" applyAlignment="1">
      <alignment horizontal="right"/>
    </xf>
    <xf numFmtId="4" fontId="9" fillId="4" borderId="0" xfId="0" applyNumberFormat="1" applyFont="1" applyFill="1"/>
    <xf numFmtId="9" fontId="0" fillId="0" borderId="0" xfId="0" applyNumberFormat="1"/>
    <xf numFmtId="0" fontId="9" fillId="4" borderId="5" xfId="0" applyFont="1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9" fillId="3" borderId="6" xfId="0" applyFont="1" applyFill="1" applyBorder="1"/>
    <xf numFmtId="10" fontId="12" fillId="0" borderId="0" xfId="0" applyNumberFormat="1" applyFont="1"/>
    <xf numFmtId="165" fontId="0" fillId="0" borderId="0" xfId="0" applyNumberFormat="1"/>
    <xf numFmtId="0" fontId="5" fillId="0" borderId="0" xfId="0" applyFont="1" applyAlignment="1">
      <alignment vertical="top"/>
    </xf>
    <xf numFmtId="165" fontId="3" fillId="6" borderId="0" xfId="2" applyNumberFormat="1" applyFont="1" applyFill="1" applyAlignment="1">
      <alignment horizontal="right"/>
    </xf>
    <xf numFmtId="165" fontId="3" fillId="6" borderId="5" xfId="2" applyNumberFormat="1" applyFont="1" applyFill="1" applyBorder="1" applyAlignment="1">
      <alignment horizontal="right"/>
    </xf>
    <xf numFmtId="165" fontId="3" fillId="0" borderId="0" xfId="2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5" fontId="9" fillId="4" borderId="0" xfId="2" applyNumberFormat="1" applyFont="1" applyFill="1" applyAlignment="1">
      <alignment horizontal="right"/>
    </xf>
    <xf numFmtId="166" fontId="0" fillId="0" borderId="0" xfId="0" applyNumberFormat="1"/>
    <xf numFmtId="164" fontId="9" fillId="0" borderId="0" xfId="2" applyNumberFormat="1" applyFont="1" applyFill="1" applyBorder="1" applyAlignment="1">
      <alignment horizontal="right"/>
    </xf>
    <xf numFmtId="3" fontId="0" fillId="3" borderId="0" xfId="0" applyNumberFormat="1" applyFill="1"/>
    <xf numFmtId="4" fontId="1" fillId="0" borderId="0" xfId="2" applyNumberFormat="1" applyFont="1"/>
    <xf numFmtId="0" fontId="0" fillId="8" borderId="0" xfId="0" applyFill="1"/>
    <xf numFmtId="164" fontId="1" fillId="0" borderId="0" xfId="2" applyNumberFormat="1" applyFont="1" applyAlignment="1">
      <alignment horizontal="right"/>
    </xf>
    <xf numFmtId="3" fontId="13" fillId="0" borderId="0" xfId="0" applyNumberFormat="1" applyFont="1"/>
    <xf numFmtId="4" fontId="5" fillId="0" borderId="0" xfId="0" applyNumberFormat="1" applyFont="1"/>
    <xf numFmtId="0" fontId="14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 indent="5"/>
    </xf>
    <xf numFmtId="0" fontId="16" fillId="3" borderId="0" xfId="1" applyFont="1" applyFill="1" applyAlignment="1">
      <alignment horizontal="left" vertical="center"/>
    </xf>
    <xf numFmtId="0" fontId="17" fillId="0" borderId="0" xfId="0" applyFont="1"/>
    <xf numFmtId="0" fontId="18" fillId="3" borderId="5" xfId="0" applyFont="1" applyFill="1" applyBorder="1"/>
    <xf numFmtId="168" fontId="0" fillId="0" borderId="0" xfId="0" applyNumberFormat="1"/>
    <xf numFmtId="0" fontId="13" fillId="0" borderId="0" xfId="0" applyFont="1"/>
    <xf numFmtId="0" fontId="0" fillId="0" borderId="0" xfId="0" applyAlignment="1">
      <alignment horizontal="left" indent="12"/>
    </xf>
    <xf numFmtId="14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right" wrapText="1"/>
    </xf>
    <xf numFmtId="0" fontId="0" fillId="0" borderId="0" xfId="0" applyAlignment="1">
      <alignment wrapText="1"/>
    </xf>
    <xf numFmtId="164" fontId="9" fillId="4" borderId="0" xfId="2" applyNumberFormat="1" applyFont="1" applyFill="1" applyBorder="1" applyAlignment="1">
      <alignment horizontal="right"/>
    </xf>
    <xf numFmtId="0" fontId="19" fillId="6" borderId="0" xfId="0" applyFont="1" applyFill="1"/>
    <xf numFmtId="3" fontId="19" fillId="6" borderId="0" xfId="0" applyNumberFormat="1" applyFont="1" applyFill="1"/>
    <xf numFmtId="4" fontId="19" fillId="6" borderId="0" xfId="2" applyNumberFormat="1" applyFont="1" applyFill="1"/>
    <xf numFmtId="4" fontId="19" fillId="6" borderId="0" xfId="0" applyNumberFormat="1" applyFont="1" applyFill="1"/>
    <xf numFmtId="0" fontId="19" fillId="5" borderId="6" xfId="0" applyFont="1" applyFill="1" applyBorder="1"/>
    <xf numFmtId="3" fontId="19" fillId="5" borderId="6" xfId="0" applyNumberFormat="1" applyFont="1" applyFill="1" applyBorder="1"/>
    <xf numFmtId="4" fontId="19" fillId="5" borderId="6" xfId="0" applyNumberFormat="1" applyFont="1" applyFill="1" applyBorder="1"/>
    <xf numFmtId="0" fontId="20" fillId="0" borderId="0" xfId="0" applyFont="1"/>
    <xf numFmtId="165" fontId="9" fillId="4" borderId="0" xfId="0" applyNumberFormat="1" applyFont="1" applyFill="1"/>
    <xf numFmtId="9" fontId="3" fillId="0" borderId="0" xfId="2" applyFont="1"/>
    <xf numFmtId="164" fontId="0" fillId="0" borderId="0" xfId="2" applyNumberFormat="1" applyFont="1" applyAlignment="1">
      <alignment horizontal="right"/>
    </xf>
    <xf numFmtId="0" fontId="9" fillId="7" borderId="0" xfId="0" applyFont="1" applyFill="1"/>
    <xf numFmtId="3" fontId="9" fillId="7" borderId="0" xfId="0" applyNumberFormat="1" applyFont="1" applyFill="1"/>
    <xf numFmtId="14" fontId="9" fillId="4" borderId="0" xfId="0" applyNumberFormat="1" applyFont="1" applyFill="1"/>
    <xf numFmtId="3" fontId="8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 wrapText="1"/>
    </xf>
    <xf numFmtId="164" fontId="13" fillId="3" borderId="0" xfId="2" applyNumberFormat="1" applyFont="1" applyFill="1"/>
    <xf numFmtId="164" fontId="13" fillId="0" borderId="0" xfId="2" applyNumberFormat="1" applyFont="1" applyFill="1"/>
    <xf numFmtId="0" fontId="5" fillId="0" borderId="0" xfId="0" applyFont="1" applyAlignment="1">
      <alignment vertical="center"/>
    </xf>
    <xf numFmtId="164" fontId="0" fillId="0" borderId="0" xfId="2" applyNumberFormat="1" applyFont="1"/>
    <xf numFmtId="169" fontId="11" fillId="2" borderId="0" xfId="0" applyNumberFormat="1" applyFont="1" applyFill="1"/>
    <xf numFmtId="0" fontId="18" fillId="3" borderId="0" xfId="0" applyFont="1" applyFill="1" applyAlignment="1">
      <alignment wrapText="1"/>
    </xf>
    <xf numFmtId="164" fontId="9" fillId="7" borderId="5" xfId="2" applyNumberFormat="1" applyFont="1" applyFill="1" applyBorder="1"/>
    <xf numFmtId="164" fontId="1" fillId="0" borderId="0" xfId="2" applyNumberFormat="1" applyFont="1" applyFill="1"/>
    <xf numFmtId="9" fontId="0" fillId="0" borderId="0" xfId="2" applyFont="1"/>
    <xf numFmtId="3" fontId="9" fillId="4" borderId="0" xfId="2" applyNumberFormat="1" applyFont="1" applyFill="1"/>
    <xf numFmtId="0" fontId="26" fillId="0" borderId="0" xfId="0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right"/>
    </xf>
    <xf numFmtId="10" fontId="13" fillId="0" borderId="0" xfId="2" applyNumberFormat="1" applyFont="1" applyFill="1"/>
    <xf numFmtId="9" fontId="1" fillId="0" borderId="0" xfId="2" applyFont="1" applyFill="1"/>
    <xf numFmtId="0" fontId="27" fillId="0" borderId="0" xfId="0" applyFont="1"/>
    <xf numFmtId="3" fontId="27" fillId="0" borderId="0" xfId="0" applyNumberFormat="1" applyFont="1"/>
    <xf numFmtId="164" fontId="0" fillId="0" borderId="0" xfId="2" applyNumberFormat="1" applyFont="1" applyFill="1"/>
    <xf numFmtId="0" fontId="13" fillId="0" borderId="0" xfId="0" applyFont="1" applyAlignment="1">
      <alignment horizontal="left" indent="2"/>
    </xf>
    <xf numFmtId="14" fontId="28" fillId="0" borderId="0" xfId="0" applyNumberFormat="1" applyFont="1"/>
    <xf numFmtId="0" fontId="28" fillId="0" borderId="0" xfId="0" applyFont="1"/>
    <xf numFmtId="3" fontId="3" fillId="6" borderId="0" xfId="2" applyNumberFormat="1" applyFont="1" applyFill="1" applyAlignment="1">
      <alignment horizontal="right"/>
    </xf>
    <xf numFmtId="3" fontId="3" fillId="6" borderId="5" xfId="2" applyNumberFormat="1" applyFont="1" applyFill="1" applyBorder="1" applyAlignment="1">
      <alignment horizontal="right"/>
    </xf>
    <xf numFmtId="170" fontId="9" fillId="4" borderId="0" xfId="0" applyNumberFormat="1" applyFont="1" applyFill="1"/>
    <xf numFmtId="170" fontId="0" fillId="0" borderId="0" xfId="0" applyNumberFormat="1"/>
    <xf numFmtId="170" fontId="19" fillId="6" borderId="0" xfId="0" applyNumberFormat="1" applyFont="1" applyFill="1"/>
    <xf numFmtId="0" fontId="21" fillId="0" borderId="0" xfId="0" applyFont="1" applyAlignment="1">
      <alignment horizontal="left" vertical="top" wrapText="1"/>
    </xf>
    <xf numFmtId="0" fontId="18" fillId="3" borderId="0" xfId="0" applyFont="1" applyFill="1" applyAlignment="1">
      <alignment horizontal="left" vertical="center" wrapText="1"/>
    </xf>
    <xf numFmtId="14" fontId="29" fillId="0" borderId="0" xfId="0" applyNumberFormat="1" applyFont="1"/>
    <xf numFmtId="0" fontId="0" fillId="0" borderId="0" xfId="0" applyAlignment="1">
      <alignment horizontal="left" wrapText="1"/>
    </xf>
    <xf numFmtId="0" fontId="9" fillId="3" borderId="0" xfId="0" applyFont="1" applyFill="1"/>
    <xf numFmtId="10" fontId="9" fillId="4" borderId="0" xfId="2" applyNumberFormat="1" applyFont="1" applyFill="1" applyBorder="1" applyAlignment="1">
      <alignment horizontal="right"/>
    </xf>
    <xf numFmtId="165" fontId="13" fillId="0" borderId="0" xfId="2" applyNumberFormat="1" applyFont="1" applyFill="1" applyAlignment="1">
      <alignment horizontal="right"/>
    </xf>
    <xf numFmtId="164" fontId="0" fillId="0" borderId="0" xfId="2" applyNumberFormat="1" applyFont="1" applyFill="1" applyAlignment="1">
      <alignment horizontal="right"/>
    </xf>
    <xf numFmtId="170" fontId="5" fillId="0" borderId="0" xfId="0" applyNumberFormat="1" applyFont="1"/>
    <xf numFmtId="170" fontId="27" fillId="0" borderId="0" xfId="0" applyNumberFormat="1" applyFont="1"/>
    <xf numFmtId="164" fontId="9" fillId="5" borderId="0" xfId="0" applyNumberFormat="1" applyFont="1" applyFill="1"/>
    <xf numFmtId="14" fontId="3" fillId="0" borderId="2" xfId="0" applyNumberFormat="1" applyFont="1" applyBorder="1" applyAlignment="1">
      <alignment horizontal="right" wrapText="1"/>
    </xf>
    <xf numFmtId="169" fontId="9" fillId="4" borderId="0" xfId="2" applyNumberFormat="1" applyFont="1" applyFill="1"/>
    <xf numFmtId="0" fontId="30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/>
    </xf>
    <xf numFmtId="0" fontId="21" fillId="0" borderId="0" xfId="0" applyFont="1" applyAlignment="1">
      <alignment horizontal="left" vertical="top" wrapText="1"/>
    </xf>
    <xf numFmtId="0" fontId="18" fillId="3" borderId="0" xfId="0" applyFont="1" applyFill="1" applyAlignment="1">
      <alignment horizontal="left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unicajabanco.com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0</xdr:row>
      <xdr:rowOff>66675</xdr:rowOff>
    </xdr:from>
    <xdr:to>
      <xdr:col>2</xdr:col>
      <xdr:colOff>266700</xdr:colOff>
      <xdr:row>1</xdr:row>
      <xdr:rowOff>200025</xdr:rowOff>
    </xdr:to>
    <xdr:pic>
      <xdr:nvPicPr>
        <xdr:cNvPr id="1025" name="1 Imagen" descr="Unicaja Banc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66675"/>
          <a:ext cx="14287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214032</xdr:colOff>
      <xdr:row>0</xdr:row>
      <xdr:rowOff>94130</xdr:rowOff>
    </xdr:from>
    <xdr:to>
      <xdr:col>8</xdr:col>
      <xdr:colOff>156882</xdr:colOff>
      <xdr:row>2</xdr:row>
      <xdr:rowOff>86286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408208" y="94130"/>
          <a:ext cx="704850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705975</xdr:colOff>
      <xdr:row>1</xdr:row>
      <xdr:rowOff>0</xdr:rowOff>
    </xdr:from>
    <xdr:to>
      <xdr:col>7</xdr:col>
      <xdr:colOff>693649</xdr:colOff>
      <xdr:row>2</xdr:row>
      <xdr:rowOff>203387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9300887" y="212912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  <xdr:twoCellAnchor>
    <xdr:from>
      <xdr:col>0</xdr:col>
      <xdr:colOff>0</xdr:colOff>
      <xdr:row>56</xdr:row>
      <xdr:rowOff>142875</xdr:rowOff>
    </xdr:from>
    <xdr:to>
      <xdr:col>2</xdr:col>
      <xdr:colOff>504825</xdr:colOff>
      <xdr:row>76</xdr:row>
      <xdr:rowOff>171450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CE04257-04A0-052C-E98E-25D52266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34700"/>
          <a:ext cx="6124575" cy="383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247650</xdr:colOff>
      <xdr:row>1</xdr:row>
      <xdr:rowOff>190500</xdr:rowOff>
    </xdr:from>
    <xdr:to>
      <xdr:col>21</xdr:col>
      <xdr:colOff>190500</xdr:colOff>
      <xdr:row>4</xdr:row>
      <xdr:rowOff>3362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0496550" y="190500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0</xdr:row>
      <xdr:rowOff>180975</xdr:rowOff>
    </xdr:from>
    <xdr:to>
      <xdr:col>11</xdr:col>
      <xdr:colOff>123825</xdr:colOff>
      <xdr:row>2</xdr:row>
      <xdr:rowOff>174812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715250" y="180975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0</xdr:row>
      <xdr:rowOff>123825</xdr:rowOff>
    </xdr:from>
    <xdr:to>
      <xdr:col>8</xdr:col>
      <xdr:colOff>171450</xdr:colOff>
      <xdr:row>2</xdr:row>
      <xdr:rowOff>117662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9048750" y="123825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190500</xdr:rowOff>
    </xdr:from>
    <xdr:to>
      <xdr:col>7</xdr:col>
      <xdr:colOff>257175</xdr:colOff>
      <xdr:row>2</xdr:row>
      <xdr:rowOff>193862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134225" y="190500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663543</xdr:colOff>
      <xdr:row>1</xdr:row>
      <xdr:rowOff>133350</xdr:rowOff>
    </xdr:from>
    <xdr:to>
      <xdr:col>9</xdr:col>
      <xdr:colOff>606393</xdr:colOff>
      <xdr:row>3</xdr:row>
      <xdr:rowOff>136712</xdr:rowOff>
    </xdr:to>
    <xdr:sp macro="" textlink="">
      <xdr:nvSpPr>
        <xdr:cNvPr id="5" name="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373626" y="334433"/>
          <a:ext cx="704850" cy="394946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163432</xdr:colOff>
      <xdr:row>1</xdr:row>
      <xdr:rowOff>47625</xdr:rowOff>
    </xdr:from>
    <xdr:to>
      <xdr:col>10</xdr:col>
      <xdr:colOff>106282</xdr:colOff>
      <xdr:row>3</xdr:row>
      <xdr:rowOff>50987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360785" y="241860"/>
          <a:ext cx="704850" cy="384362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494189</xdr:colOff>
      <xdr:row>1</xdr:row>
      <xdr:rowOff>142875</xdr:rowOff>
    </xdr:from>
    <xdr:to>
      <xdr:col>9</xdr:col>
      <xdr:colOff>437039</xdr:colOff>
      <xdr:row>3</xdr:row>
      <xdr:rowOff>146237</xdr:rowOff>
    </xdr:to>
    <xdr:sp macro="" textlink="">
      <xdr:nvSpPr>
        <xdr:cNvPr id="7" name="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383130" y="344581"/>
          <a:ext cx="592791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261665</xdr:colOff>
      <xdr:row>1</xdr:row>
      <xdr:rowOff>39220</xdr:rowOff>
    </xdr:from>
    <xdr:to>
      <xdr:col>9</xdr:col>
      <xdr:colOff>204515</xdr:colOff>
      <xdr:row>3</xdr:row>
      <xdr:rowOff>33057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150606" y="240926"/>
          <a:ext cx="704850" cy="397249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238133</xdr:colOff>
      <xdr:row>1</xdr:row>
      <xdr:rowOff>42582</xdr:rowOff>
    </xdr:from>
    <xdr:to>
      <xdr:col>9</xdr:col>
      <xdr:colOff>180983</xdr:colOff>
      <xdr:row>3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62958" y="242607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238133</xdr:colOff>
      <xdr:row>1</xdr:row>
      <xdr:rowOff>42582</xdr:rowOff>
    </xdr:from>
    <xdr:to>
      <xdr:col>9</xdr:col>
      <xdr:colOff>180983</xdr:colOff>
      <xdr:row>3</xdr:row>
      <xdr:rowOff>45944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149486" y="244288"/>
          <a:ext cx="704850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0</xdr:row>
      <xdr:rowOff>171450</xdr:rowOff>
    </xdr:from>
    <xdr:to>
      <xdr:col>11</xdr:col>
      <xdr:colOff>257175</xdr:colOff>
      <xdr:row>2</xdr:row>
      <xdr:rowOff>165287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58050" y="171450"/>
          <a:ext cx="771525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91335</xdr:colOff>
      <xdr:row>1</xdr:row>
      <xdr:rowOff>57150</xdr:rowOff>
    </xdr:from>
    <xdr:to>
      <xdr:col>9</xdr:col>
      <xdr:colOff>34184</xdr:colOff>
      <xdr:row>3</xdr:row>
      <xdr:rowOff>0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450923" y="258856"/>
          <a:ext cx="660026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showGridLines="0" showRowColHeaders="0" tabSelected="1" zoomScaleNormal="100" workbookViewId="0"/>
  </sheetViews>
  <sheetFormatPr baseColWidth="10" defaultColWidth="11.453125" defaultRowHeight="14.5" x14ac:dyDescent="0.35"/>
  <cols>
    <col min="1" max="1" width="11.453125" style="21" customWidth="1"/>
    <col min="2" max="2" width="41.54296875" style="21" bestFit="1" customWidth="1"/>
    <col min="3" max="3" width="11.453125" style="21" customWidth="1"/>
  </cols>
  <sheetData>
    <row r="1" spans="2:2" ht="37.5" customHeight="1" x14ac:dyDescent="0.35">
      <c r="B1" s="80" t="s">
        <v>2</v>
      </c>
    </row>
    <row r="2" spans="2:2" ht="18.5" x14ac:dyDescent="0.35">
      <c r="B2" s="81"/>
    </row>
    <row r="3" spans="2:2" ht="20.149999999999999" customHeight="1" x14ac:dyDescent="0.35">
      <c r="B3" s="82" t="s">
        <v>9</v>
      </c>
    </row>
    <row r="4" spans="2:2" ht="20.149999999999999" customHeight="1" x14ac:dyDescent="0.35">
      <c r="B4" s="82" t="s">
        <v>10</v>
      </c>
    </row>
    <row r="5" spans="2:2" ht="20.149999999999999" customHeight="1" x14ac:dyDescent="0.35">
      <c r="B5" s="82" t="s">
        <v>11</v>
      </c>
    </row>
    <row r="6" spans="2:2" ht="20.149999999999999" customHeight="1" x14ac:dyDescent="0.35">
      <c r="B6" s="82" t="s">
        <v>12</v>
      </c>
    </row>
    <row r="7" spans="2:2" s="21" customFormat="1" ht="20.149999999999999" customHeight="1" x14ac:dyDescent="0.35">
      <c r="B7" s="82" t="s">
        <v>217</v>
      </c>
    </row>
    <row r="8" spans="2:2" s="21" customFormat="1" ht="20.149999999999999" customHeight="1" x14ac:dyDescent="0.35">
      <c r="B8" s="82" t="s">
        <v>210</v>
      </c>
    </row>
    <row r="9" spans="2:2" s="21" customFormat="1" ht="20.149999999999999" customHeight="1" x14ac:dyDescent="0.35">
      <c r="B9" s="82" t="s">
        <v>211</v>
      </c>
    </row>
    <row r="10" spans="2:2" s="21" customFormat="1" ht="20.149999999999999" customHeight="1" x14ac:dyDescent="0.35">
      <c r="B10" s="82" t="s">
        <v>212</v>
      </c>
    </row>
    <row r="11" spans="2:2" s="21" customFormat="1" ht="20.149999999999999" customHeight="1" x14ac:dyDescent="0.35">
      <c r="B11" s="82" t="s">
        <v>213</v>
      </c>
    </row>
    <row r="12" spans="2:2" s="21" customFormat="1" ht="20.149999999999999" customHeight="1" x14ac:dyDescent="0.35">
      <c r="B12" s="82" t="s">
        <v>214</v>
      </c>
    </row>
    <row r="13" spans="2:2" s="21" customFormat="1" ht="20.149999999999999" customHeight="1" x14ac:dyDescent="0.35">
      <c r="B13" s="82" t="s">
        <v>215</v>
      </c>
    </row>
    <row r="14" spans="2:2" s="21" customFormat="1" ht="20.149999999999999" customHeight="1" x14ac:dyDescent="0.35">
      <c r="B14" s="82" t="s">
        <v>216</v>
      </c>
    </row>
    <row r="15" spans="2:2" s="21" customFormat="1" ht="20.149999999999999" customHeight="1" x14ac:dyDescent="0.35">
      <c r="B15" s="82" t="s">
        <v>223</v>
      </c>
    </row>
    <row r="16" spans="2:2" s="21" customFormat="1" ht="20.149999999999999" customHeight="1" x14ac:dyDescent="0.35">
      <c r="B16" s="82" t="s">
        <v>224</v>
      </c>
    </row>
    <row r="17" spans="2:2" x14ac:dyDescent="0.35">
      <c r="B17" s="82"/>
    </row>
  </sheetData>
  <hyperlinks>
    <hyperlink ref="B3" location="Relevantes!A1" display="1. Datos Relevantes " xr:uid="{00000000-0004-0000-0000-000000000000}"/>
    <hyperlink ref="B4" location="Balance!A1" display="2. Total Balance" xr:uid="{00000000-0004-0000-0000-000001000000}"/>
    <hyperlink ref="B5" location="Recursos!A1" display="3. Recursos" xr:uid="{00000000-0004-0000-0000-000002000000}"/>
    <hyperlink ref="B6" location="'Credito Performing'!A1" display="4. Crédito performing" xr:uid="{00000000-0004-0000-0000-000003000000}"/>
    <hyperlink ref="B8" location="'Dudosos (I)'!A1" display="5. Dudosos (I)" xr:uid="{00000000-0004-0000-0000-000004000000}"/>
    <hyperlink ref="B10" location="'Adjudicados (I)'!A1" display="7. Adjudicados (I)" xr:uid="{00000000-0004-0000-0000-000005000000}"/>
    <hyperlink ref="B12" location="Resultados!A1" display="9. Resultados" xr:uid="{00000000-0004-0000-0000-000006000000}"/>
    <hyperlink ref="B13" location="'Rend &amp; Costes'!A1" display="10. Rendimientos y costes" xr:uid="{00000000-0004-0000-0000-000007000000}"/>
    <hyperlink ref="B14" location="Comisiones!A1" display="11. Comisiones" xr:uid="{00000000-0004-0000-0000-000008000000}"/>
    <hyperlink ref="B9" location="'Dudosos (II)'!A1" display="6. Dudosos (II)" xr:uid="{00000000-0004-0000-0000-000009000000}"/>
    <hyperlink ref="B11" location="'Adjudicados (II)'!A1" display="8. Adjudicados (II)" xr:uid="{00000000-0004-0000-0000-00000A000000}"/>
    <hyperlink ref="B7" location="'Riesgo de crédito por Stage'!A1" display="5. Riesgo de crédito por Stage" xr:uid="{00000000-0004-0000-0000-00000B000000}"/>
    <hyperlink ref="B15" location="Liquidez!A1" display="13. Liquidez" xr:uid="{00000000-0004-0000-0000-00000C000000}"/>
    <hyperlink ref="B16" location="Solvencia!A1" display="14. Solvencia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70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4.5" x14ac:dyDescent="0.35"/>
  <cols>
    <col min="1" max="1" width="51.453125" customWidth="1"/>
    <col min="2" max="5" width="11.453125" customWidth="1"/>
  </cols>
  <sheetData>
    <row r="1" spans="1:5" ht="15.5" x14ac:dyDescent="0.35">
      <c r="A1" s="19" t="s">
        <v>121</v>
      </c>
      <c r="B1" s="136">
        <f>'Adjudicados (I)'!B2</f>
        <v>45199</v>
      </c>
      <c r="C1" s="136">
        <f>'Adjudicados (I)'!C2</f>
        <v>45107</v>
      </c>
      <c r="D1" s="136">
        <f>'Adjudicados (I)'!D2</f>
        <v>44926</v>
      </c>
      <c r="E1" s="136">
        <f>'Adjudicados (I)'!E2</f>
        <v>44834</v>
      </c>
    </row>
    <row r="2" spans="1:5" ht="15" thickBot="1" x14ac:dyDescent="0.4">
      <c r="A2" s="20" t="s">
        <v>48</v>
      </c>
      <c r="B2" s="22" t="str">
        <f>MONTH(B1)/3&amp;"T "&amp;YEAR(B1)</f>
        <v>3T 2023</v>
      </c>
      <c r="C2" s="22" t="str">
        <f t="shared" ref="C2:E2" si="0">MONTH(C1)/3&amp;"T "&amp;YEAR(C1)</f>
        <v>2T 2023</v>
      </c>
      <c r="D2" s="22" t="str">
        <f t="shared" si="0"/>
        <v>4T 2022</v>
      </c>
      <c r="E2" s="22" t="str">
        <f t="shared" si="0"/>
        <v>3T 2022</v>
      </c>
    </row>
    <row r="3" spans="1:5" x14ac:dyDescent="0.35">
      <c r="A3" s="1" t="s">
        <v>122</v>
      </c>
      <c r="B3" s="1"/>
      <c r="C3" s="1"/>
      <c r="D3" s="1"/>
      <c r="E3" s="1"/>
    </row>
    <row r="4" spans="1:5" x14ac:dyDescent="0.35">
      <c r="A4" s="33" t="s">
        <v>123</v>
      </c>
      <c r="B4" s="34">
        <v>1698.2551229599917</v>
      </c>
      <c r="C4" s="34">
        <v>1790.4084386699935</v>
      </c>
      <c r="D4" s="34">
        <v>1886.7404980199885</v>
      </c>
      <c r="E4" s="34">
        <v>1943.3024506499914</v>
      </c>
    </row>
    <row r="5" spans="1:5" x14ac:dyDescent="0.35">
      <c r="A5" t="s">
        <v>111</v>
      </c>
      <c r="B5" s="12">
        <v>15.83372688000342</v>
      </c>
      <c r="C5" s="12">
        <v>27.624684069998121</v>
      </c>
      <c r="D5" s="12">
        <v>40.95821252999626</v>
      </c>
      <c r="E5" s="12">
        <v>18.251963229997287</v>
      </c>
    </row>
    <row r="6" spans="1:5" x14ac:dyDescent="0.35">
      <c r="A6" t="s">
        <v>112</v>
      </c>
      <c r="B6" s="12">
        <v>-116.76100802999956</v>
      </c>
      <c r="C6" s="12">
        <v>-119.77799977999996</v>
      </c>
      <c r="D6" s="12">
        <v>-94.630155869999768</v>
      </c>
      <c r="E6" s="12">
        <v>-74.813915860000193</v>
      </c>
    </row>
    <row r="7" spans="1:5" x14ac:dyDescent="0.35">
      <c r="A7" s="26" t="s">
        <v>124</v>
      </c>
      <c r="B7" s="30">
        <v>1597.3278418099956</v>
      </c>
      <c r="C7" s="30">
        <v>1698.2551229599917</v>
      </c>
      <c r="D7" s="30">
        <v>1833.068554679985</v>
      </c>
      <c r="E7" s="30">
        <v>1886.7404980199885</v>
      </c>
    </row>
    <row r="8" spans="1:5" x14ac:dyDescent="0.35">
      <c r="A8" s="1" t="s">
        <v>125</v>
      </c>
      <c r="B8" s="101">
        <f>-B6/B4</f>
        <v>6.8753514387455361E-2</v>
      </c>
      <c r="C8" s="101">
        <f>-C6/C4</f>
        <v>6.6899818607298989E-2</v>
      </c>
      <c r="D8" s="101">
        <f>-D6/D4</f>
        <v>5.0155363691672471E-2</v>
      </c>
      <c r="E8" s="101">
        <f t="shared" ref="E8" si="1">-E6/E4</f>
        <v>3.8498338657977096E-2</v>
      </c>
    </row>
    <row r="9" spans="1:5" x14ac:dyDescent="0.35">
      <c r="B9" s="123"/>
      <c r="C9" s="123"/>
      <c r="D9" s="123"/>
      <c r="E9" s="123"/>
    </row>
    <row r="70" spans="1:5" x14ac:dyDescent="0.35">
      <c r="A70" s="76"/>
      <c r="B70" s="76"/>
      <c r="C70" s="76"/>
      <c r="D70" s="76"/>
      <c r="E70" s="76"/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7"/>
  <sheetViews>
    <sheetView showGridLines="0" zoomScale="85" zoomScaleNormal="85" workbookViewId="0">
      <pane xSplit="1" ySplit="2" topLeftCell="B8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72.7265625" customWidth="1"/>
    <col min="2" max="2" width="11.54296875" customWidth="1"/>
    <col min="3" max="3" width="11.26953125" bestFit="1" customWidth="1"/>
    <col min="4" max="4" width="11.26953125" customWidth="1"/>
    <col min="5" max="5" width="11.26953125" bestFit="1" customWidth="1"/>
    <col min="6" max="8" width="10.7265625" customWidth="1"/>
  </cols>
  <sheetData>
    <row r="1" spans="1:6" ht="16.5" customHeight="1" x14ac:dyDescent="0.35">
      <c r="A1" s="83" t="s">
        <v>13</v>
      </c>
      <c r="B1" s="83"/>
      <c r="D1" s="151" t="s">
        <v>126</v>
      </c>
      <c r="E1" s="151"/>
      <c r="F1" s="151"/>
    </row>
    <row r="2" spans="1:6" x14ac:dyDescent="0.35">
      <c r="A2" s="20" t="s">
        <v>48</v>
      </c>
      <c r="B2" s="8">
        <f>MAX(Relevantes!$2:$2)</f>
        <v>45199</v>
      </c>
      <c r="C2" s="8">
        <f>EOMONTH(B2,-12)</f>
        <v>44834</v>
      </c>
      <c r="D2" s="9" t="s">
        <v>127</v>
      </c>
      <c r="E2" s="9" t="s">
        <v>128</v>
      </c>
      <c r="F2" s="3" t="s">
        <v>270</v>
      </c>
    </row>
    <row r="3" spans="1:6" ht="22.5" customHeight="1" x14ac:dyDescent="0.35">
      <c r="A3" t="s">
        <v>129</v>
      </c>
      <c r="B3" s="12">
        <v>1680.9394890000001</v>
      </c>
      <c r="C3" s="12">
        <v>892.8962315</v>
      </c>
      <c r="D3" s="12">
        <f t="shared" ref="D3:D26" si="0">+B3-C3</f>
        <v>788.0432575000001</v>
      </c>
      <c r="E3" s="111">
        <f t="shared" ref="E3:E23" si="1">+D3/C3</f>
        <v>0.88256981012916291</v>
      </c>
      <c r="F3" s="111"/>
    </row>
    <row r="4" spans="1:6" x14ac:dyDescent="0.35">
      <c r="A4" t="s">
        <v>130</v>
      </c>
      <c r="B4" s="12">
        <v>-707.90013519000001</v>
      </c>
      <c r="C4" s="12">
        <v>-116.68373511</v>
      </c>
      <c r="D4" s="12">
        <f t="shared" si="0"/>
        <v>-591.21640007999997</v>
      </c>
      <c r="E4" s="111">
        <f t="shared" si="1"/>
        <v>5.0668278618493732</v>
      </c>
      <c r="F4" s="111"/>
    </row>
    <row r="5" spans="1:6" x14ac:dyDescent="0.35">
      <c r="A5" s="26" t="s">
        <v>131</v>
      </c>
      <c r="B5" s="30">
        <v>973.03935380999997</v>
      </c>
      <c r="C5" s="30">
        <v>776.21249638999996</v>
      </c>
      <c r="D5" s="30">
        <f t="shared" si="0"/>
        <v>196.82685742000001</v>
      </c>
      <c r="E5" s="32">
        <f t="shared" si="1"/>
        <v>0.25357342008200084</v>
      </c>
      <c r="F5" s="32">
        <v>0.25357342008200079</v>
      </c>
    </row>
    <row r="6" spans="1:6" x14ac:dyDescent="0.35">
      <c r="A6" t="s">
        <v>132</v>
      </c>
      <c r="B6" s="12">
        <v>24.56305</v>
      </c>
      <c r="C6" s="12">
        <v>15.909029214999999</v>
      </c>
      <c r="D6" s="12">
        <f t="shared" si="0"/>
        <v>8.6540207850000019</v>
      </c>
      <c r="E6" s="111">
        <f t="shared" si="1"/>
        <v>0.54396913023708993</v>
      </c>
      <c r="F6" s="111"/>
    </row>
    <row r="7" spans="1:6" x14ac:dyDescent="0.35">
      <c r="A7" t="s">
        <v>133</v>
      </c>
      <c r="B7" s="12">
        <v>62.802824948900003</v>
      </c>
      <c r="C7" s="12">
        <v>57.238330780700004</v>
      </c>
      <c r="D7" s="12">
        <f t="shared" si="0"/>
        <v>5.5644941681999995</v>
      </c>
      <c r="E7" s="111">
        <f t="shared" si="1"/>
        <v>9.7216220185028041E-2</v>
      </c>
      <c r="F7" s="111"/>
    </row>
    <row r="8" spans="1:6" x14ac:dyDescent="0.35">
      <c r="A8" t="s">
        <v>134</v>
      </c>
      <c r="B8" s="12">
        <v>400.64998299999996</v>
      </c>
      <c r="C8" s="12">
        <v>394.18062400000002</v>
      </c>
      <c r="D8" s="12">
        <f t="shared" si="0"/>
        <v>6.4693589999999404</v>
      </c>
      <c r="E8" s="111">
        <f t="shared" si="1"/>
        <v>1.641216895531613E-2</v>
      </c>
      <c r="F8" s="111"/>
    </row>
    <row r="9" spans="1:6" x14ac:dyDescent="0.35">
      <c r="A9" t="s">
        <v>135</v>
      </c>
      <c r="B9" s="12">
        <v>15.499959490000002</v>
      </c>
      <c r="C9" s="12">
        <v>35.047808225000011</v>
      </c>
      <c r="D9" s="12">
        <f t="shared" si="0"/>
        <v>-19.547848735000009</v>
      </c>
      <c r="E9" s="111">
        <f t="shared" si="1"/>
        <v>-0.55774810822710164</v>
      </c>
      <c r="F9" s="111"/>
    </row>
    <row r="10" spans="1:6" x14ac:dyDescent="0.35">
      <c r="A10" t="s">
        <v>136</v>
      </c>
      <c r="B10" s="12">
        <v>-143.10601036</v>
      </c>
      <c r="C10" s="12">
        <v>-19.893325790294682</v>
      </c>
      <c r="D10" s="12">
        <f t="shared" si="0"/>
        <v>-123.21268456970532</v>
      </c>
      <c r="E10" s="111">
        <f t="shared" si="1"/>
        <v>6.1936694682704516</v>
      </c>
      <c r="F10" s="111"/>
    </row>
    <row r="11" spans="1:6" x14ac:dyDescent="0.35">
      <c r="A11" s="26" t="s">
        <v>137</v>
      </c>
      <c r="B11" s="30">
        <v>1333.4491608889</v>
      </c>
      <c r="C11" s="30">
        <v>1258.6949628204052</v>
      </c>
      <c r="D11" s="30">
        <f t="shared" si="0"/>
        <v>74.754198068494816</v>
      </c>
      <c r="E11" s="32">
        <f>+D11/C11</f>
        <v>5.9390241700014647E-2</v>
      </c>
      <c r="F11" s="32">
        <v>0.11011290980932475</v>
      </c>
    </row>
    <row r="12" spans="1:6" x14ac:dyDescent="0.35">
      <c r="A12" t="s">
        <v>138</v>
      </c>
      <c r="B12" s="12">
        <v>-572.58822542999997</v>
      </c>
      <c r="C12" s="12">
        <v>-585.5522455900001</v>
      </c>
      <c r="D12" s="12">
        <f t="shared" si="0"/>
        <v>12.964020160000132</v>
      </c>
      <c r="E12" s="111">
        <f t="shared" si="1"/>
        <v>-2.2139818022450988E-2</v>
      </c>
      <c r="F12" s="111"/>
    </row>
    <row r="13" spans="1:6" x14ac:dyDescent="0.35">
      <c r="A13" s="7" t="s">
        <v>139</v>
      </c>
      <c r="B13" s="12">
        <v>-364.05466229000001</v>
      </c>
      <c r="C13" s="12">
        <v>-382.73088200000007</v>
      </c>
      <c r="D13" s="12">
        <f t="shared" si="0"/>
        <v>18.676219710000055</v>
      </c>
      <c r="E13" s="111">
        <f t="shared" si="1"/>
        <v>-4.8797263529939169E-2</v>
      </c>
      <c r="F13" s="111"/>
    </row>
    <row r="14" spans="1:6" x14ac:dyDescent="0.35">
      <c r="A14" s="7" t="s">
        <v>140</v>
      </c>
      <c r="B14" s="12">
        <v>-208.53356313999998</v>
      </c>
      <c r="C14" s="12">
        <v>-202.82136359000003</v>
      </c>
      <c r="D14" s="12">
        <f t="shared" si="0"/>
        <v>-5.7121995499999514</v>
      </c>
      <c r="E14" s="111">
        <f t="shared" si="1"/>
        <v>2.8163697595225058E-2</v>
      </c>
      <c r="F14" s="111"/>
    </row>
    <row r="15" spans="1:6" x14ac:dyDescent="0.35">
      <c r="A15" t="s">
        <v>141</v>
      </c>
      <c r="B15" s="12">
        <v>-68.803684660000002</v>
      </c>
      <c r="C15" s="12">
        <v>-68.133225409999994</v>
      </c>
      <c r="D15" s="12">
        <f t="shared" si="0"/>
        <v>-0.6704592500000075</v>
      </c>
      <c r="E15" s="111">
        <f t="shared" si="1"/>
        <v>9.8404155383139021E-3</v>
      </c>
      <c r="F15" s="111"/>
    </row>
    <row r="16" spans="1:6" x14ac:dyDescent="0.35">
      <c r="A16" s="26" t="s">
        <v>142</v>
      </c>
      <c r="B16" s="30">
        <v>692.05725079889999</v>
      </c>
      <c r="C16" s="30">
        <v>605.00949182040506</v>
      </c>
      <c r="D16" s="30">
        <f t="shared" si="0"/>
        <v>87.047758978494926</v>
      </c>
      <c r="E16" s="32">
        <f t="shared" si="1"/>
        <v>0.14387833605151892</v>
      </c>
      <c r="F16" s="32">
        <v>0.24940455954579765</v>
      </c>
    </row>
    <row r="17" spans="1:7" x14ac:dyDescent="0.35">
      <c r="A17" t="s">
        <v>143</v>
      </c>
      <c r="B17" s="12">
        <v>-87.50602275</v>
      </c>
      <c r="C17" s="12">
        <v>-83.596043000000009</v>
      </c>
      <c r="D17" s="12">
        <f t="shared" si="0"/>
        <v>-3.9099797499999909</v>
      </c>
      <c r="E17" s="111">
        <f t="shared" si="1"/>
        <v>4.6772306555227627E-2</v>
      </c>
      <c r="F17" s="111"/>
    </row>
    <row r="18" spans="1:7" x14ac:dyDescent="0.35">
      <c r="A18" t="s">
        <v>144</v>
      </c>
      <c r="B18" s="12">
        <v>-112.38827771</v>
      </c>
      <c r="C18" s="12">
        <v>-128.82034136337208</v>
      </c>
      <c r="D18" s="12">
        <f t="shared" si="0"/>
        <v>16.432063653372083</v>
      </c>
      <c r="E18" s="111">
        <f t="shared" si="1"/>
        <v>-0.12755798874201918</v>
      </c>
      <c r="F18" s="111"/>
    </row>
    <row r="19" spans="1:7" x14ac:dyDescent="0.35">
      <c r="A19" s="26" t="s">
        <v>145</v>
      </c>
      <c r="B19" s="30">
        <v>492.16295033889992</v>
      </c>
      <c r="C19" s="30">
        <v>392.59310745703294</v>
      </c>
      <c r="D19" s="30">
        <f t="shared" si="0"/>
        <v>99.569842881866975</v>
      </c>
      <c r="E19" s="32">
        <f t="shared" si="1"/>
        <v>0.2536209652961478</v>
      </c>
      <c r="F19" s="32">
        <v>0.41624319588889303</v>
      </c>
    </row>
    <row r="20" spans="1:7" x14ac:dyDescent="0.35">
      <c r="A20" t="s">
        <v>146</v>
      </c>
      <c r="B20" s="12">
        <v>-79.297675639999994</v>
      </c>
      <c r="C20" s="12">
        <v>-21.412280999999997</v>
      </c>
      <c r="D20" s="12">
        <f t="shared" si="0"/>
        <v>-57.885394640000001</v>
      </c>
      <c r="E20" s="111">
        <f t="shared" si="1"/>
        <v>2.7033735751926669</v>
      </c>
      <c r="F20" s="111"/>
    </row>
    <row r="21" spans="1:7" x14ac:dyDescent="0.35">
      <c r="A21" s="26" t="s">
        <v>147</v>
      </c>
      <c r="B21" s="30">
        <v>412.86527469889995</v>
      </c>
      <c r="C21" s="30">
        <v>371.18082645703294</v>
      </c>
      <c r="D21" s="30">
        <f t="shared" si="0"/>
        <v>41.684448241867017</v>
      </c>
      <c r="E21" s="32">
        <f t="shared" si="1"/>
        <v>0.11230226690249669</v>
      </c>
      <c r="F21" s="32">
        <v>0.28430567413503738</v>
      </c>
    </row>
    <row r="22" spans="1:7" x14ac:dyDescent="0.35">
      <c r="A22" t="s">
        <v>148</v>
      </c>
      <c r="B22" s="12">
        <v>-127.517397184</v>
      </c>
      <c r="C22" s="12">
        <v>-99.272427964465578</v>
      </c>
      <c r="D22" s="12">
        <f t="shared" si="0"/>
        <v>-28.244969219534426</v>
      </c>
      <c r="E22" s="111">
        <f t="shared" si="1"/>
        <v>0.28451977853956256</v>
      </c>
      <c r="F22" s="111"/>
    </row>
    <row r="23" spans="1:7" x14ac:dyDescent="0.35">
      <c r="A23" s="26" t="s">
        <v>149</v>
      </c>
      <c r="B23" s="30">
        <v>285.34787751489995</v>
      </c>
      <c r="C23" s="30">
        <v>271.90839849256736</v>
      </c>
      <c r="D23" s="30">
        <f>+B23-C23</f>
        <v>13.439479022332591</v>
      </c>
      <c r="E23" s="32">
        <f t="shared" si="1"/>
        <v>4.9426494719691273E-2</v>
      </c>
      <c r="F23" s="32">
        <v>0.28422750566288646</v>
      </c>
    </row>
    <row r="24" spans="1:7" ht="15" customHeight="1" x14ac:dyDescent="0.35">
      <c r="A24" t="s">
        <v>150</v>
      </c>
      <c r="B24" s="12"/>
      <c r="C24" s="12"/>
      <c r="D24" s="12"/>
      <c r="E24" s="111"/>
      <c r="F24" s="111"/>
    </row>
    <row r="25" spans="1:7" ht="15" thickBot="1" x14ac:dyDescent="0.4">
      <c r="A25" s="26" t="s">
        <v>151</v>
      </c>
      <c r="B25" s="30">
        <v>285.34787751489995</v>
      </c>
      <c r="C25" s="30">
        <v>271.90839849256736</v>
      </c>
      <c r="D25" s="30">
        <f>+B25-C25</f>
        <v>13.439479022332591</v>
      </c>
      <c r="E25" s="32">
        <f>+D25/C25</f>
        <v>4.9426494719691273E-2</v>
      </c>
      <c r="F25" s="32">
        <v>0.28422750566288646</v>
      </c>
    </row>
    <row r="26" spans="1:7" x14ac:dyDescent="0.35">
      <c r="A26" s="53" t="s">
        <v>152</v>
      </c>
      <c r="B26" s="54">
        <v>285.34787751489995</v>
      </c>
      <c r="C26" s="54">
        <v>271.90839849256736</v>
      </c>
      <c r="D26" s="54">
        <f t="shared" si="0"/>
        <v>13.439479022332591</v>
      </c>
      <c r="E26" s="114">
        <f>+D26/C26</f>
        <v>4.9426494719691273E-2</v>
      </c>
      <c r="F26" s="114">
        <v>0.28406433729351677</v>
      </c>
    </row>
    <row r="27" spans="1:7" x14ac:dyDescent="0.35">
      <c r="A27" s="150" t="s">
        <v>269</v>
      </c>
      <c r="B27" s="150"/>
      <c r="C27" s="150"/>
      <c r="D27" s="150"/>
      <c r="E27" s="150"/>
      <c r="F27" s="150"/>
    </row>
    <row r="28" spans="1:7" x14ac:dyDescent="0.35">
      <c r="B28" s="137"/>
      <c r="C28" s="137"/>
      <c r="D28" s="137"/>
      <c r="E28" s="137"/>
      <c r="F28" s="137"/>
    </row>
    <row r="29" spans="1:7" x14ac:dyDescent="0.35">
      <c r="A29" s="147" t="s">
        <v>282</v>
      </c>
      <c r="B29" s="136">
        <f>B2</f>
        <v>45199</v>
      </c>
      <c r="C29" s="136">
        <f>EOMONTH(B29,-3)</f>
        <v>45107</v>
      </c>
      <c r="D29" s="136">
        <f t="shared" ref="D29:F29" si="2">EOMONTH(C29,-3)</f>
        <v>45016</v>
      </c>
      <c r="E29" s="136">
        <f t="shared" si="2"/>
        <v>44926</v>
      </c>
      <c r="F29" s="136">
        <f t="shared" si="2"/>
        <v>44834</v>
      </c>
      <c r="G29" s="73"/>
    </row>
    <row r="30" spans="1:7" x14ac:dyDescent="0.35">
      <c r="A30" s="1" t="s">
        <v>48</v>
      </c>
      <c r="B30" s="9" t="s">
        <v>281</v>
      </c>
      <c r="C30" s="9" t="s">
        <v>280</v>
      </c>
      <c r="D30" s="9" t="s">
        <v>268</v>
      </c>
      <c r="E30" s="9" t="s">
        <v>256</v>
      </c>
      <c r="F30" s="9" t="s">
        <v>227</v>
      </c>
    </row>
    <row r="31" spans="1:7" x14ac:dyDescent="0.35">
      <c r="A31" t="s">
        <v>129</v>
      </c>
      <c r="B31" s="12">
        <v>613.74248900000021</v>
      </c>
      <c r="C31" s="12">
        <v>584.92620836999981</v>
      </c>
      <c r="D31" s="12">
        <v>482.27079163000002</v>
      </c>
      <c r="E31" s="12">
        <v>382.0942662599997</v>
      </c>
      <c r="F31" s="12">
        <v>306.86354027999994</v>
      </c>
    </row>
    <row r="32" spans="1:7" x14ac:dyDescent="0.35">
      <c r="A32" t="s">
        <v>130</v>
      </c>
      <c r="B32" s="12">
        <v>-256.36813518999998</v>
      </c>
      <c r="C32" s="12">
        <v>-264.346</v>
      </c>
      <c r="D32" s="12">
        <v>-187.18600000000001</v>
      </c>
      <c r="E32" s="12">
        <v>-84.913264890000008</v>
      </c>
      <c r="F32" s="12">
        <v>-39.898710840000007</v>
      </c>
    </row>
    <row r="33" spans="1:8" x14ac:dyDescent="0.35">
      <c r="A33" s="26" t="s">
        <v>131</v>
      </c>
      <c r="B33" s="30">
        <v>357.37435380999995</v>
      </c>
      <c r="C33" s="30">
        <v>320.58020836999998</v>
      </c>
      <c r="D33" s="30">
        <v>295.08479162999998</v>
      </c>
      <c r="E33" s="30">
        <v>297.18100136999976</v>
      </c>
      <c r="F33" s="30">
        <v>266.9648294399999</v>
      </c>
      <c r="H33" s="111"/>
    </row>
    <row r="34" spans="1:8" x14ac:dyDescent="0.35">
      <c r="A34" t="s">
        <v>132</v>
      </c>
      <c r="B34" s="12">
        <v>6.3740500000000004</v>
      </c>
      <c r="C34" s="12">
        <v>18.102</v>
      </c>
      <c r="D34" s="12">
        <v>8.6999999999999994E-2</v>
      </c>
      <c r="E34" s="12">
        <v>2.5259927449999982</v>
      </c>
      <c r="F34" s="12">
        <v>3.2748607449999998</v>
      </c>
    </row>
    <row r="35" spans="1:8" x14ac:dyDescent="0.35">
      <c r="A35" t="s">
        <v>133</v>
      </c>
      <c r="B35" s="12">
        <v>14.748824948900003</v>
      </c>
      <c r="C35" s="12">
        <v>34.436</v>
      </c>
      <c r="D35" s="12">
        <v>13.618</v>
      </c>
      <c r="E35" s="12">
        <v>23.064048469299998</v>
      </c>
      <c r="F35" s="12">
        <v>15.137799922500001</v>
      </c>
    </row>
    <row r="36" spans="1:8" x14ac:dyDescent="0.35">
      <c r="A36" t="s">
        <v>134</v>
      </c>
      <c r="B36" s="12">
        <v>131.54898299999999</v>
      </c>
      <c r="C36" s="12">
        <v>134.14799999999997</v>
      </c>
      <c r="D36" s="12">
        <v>134.953</v>
      </c>
      <c r="E36" s="12">
        <v>130.85137600000002</v>
      </c>
      <c r="F36" s="12">
        <v>130.532353</v>
      </c>
    </row>
    <row r="37" spans="1:8" x14ac:dyDescent="0.35">
      <c r="A37" t="s">
        <v>135</v>
      </c>
      <c r="B37" s="12">
        <v>7.1569594900000038</v>
      </c>
      <c r="C37" s="12">
        <v>-0.2810000000000008</v>
      </c>
      <c r="D37" s="12">
        <v>8.6239999999999988</v>
      </c>
      <c r="E37" s="12">
        <v>17.38998164500001</v>
      </c>
      <c r="F37" s="12">
        <v>7.5378082350000062</v>
      </c>
    </row>
    <row r="38" spans="1:8" x14ac:dyDescent="0.35">
      <c r="A38" t="s">
        <v>153</v>
      </c>
      <c r="B38" s="12">
        <v>-14.418010359999982</v>
      </c>
      <c r="C38" s="12">
        <v>-49.233208369999993</v>
      </c>
      <c r="D38" s="12">
        <v>-79.454791630000017</v>
      </c>
      <c r="E38" s="12">
        <v>-123.94969820970532</v>
      </c>
      <c r="F38" s="12">
        <v>2.760014236341128</v>
      </c>
    </row>
    <row r="39" spans="1:8" x14ac:dyDescent="0.35">
      <c r="A39" s="26" t="s">
        <v>137</v>
      </c>
      <c r="B39" s="30">
        <v>502.78516088890012</v>
      </c>
      <c r="C39" s="30">
        <v>457.7519999999999</v>
      </c>
      <c r="D39" s="30">
        <v>372.91199999999992</v>
      </c>
      <c r="E39" s="30">
        <v>347.0627020195945</v>
      </c>
      <c r="F39" s="30">
        <v>426.20766557884104</v>
      </c>
    </row>
    <row r="40" spans="1:8" x14ac:dyDescent="0.35">
      <c r="A40" t="s">
        <v>138</v>
      </c>
      <c r="B40" s="12">
        <v>-189.10822542999995</v>
      </c>
      <c r="C40" s="12">
        <v>-193.03299999999999</v>
      </c>
      <c r="D40" s="12">
        <v>-190.447</v>
      </c>
      <c r="E40" s="12">
        <v>-185.72271840999997</v>
      </c>
      <c r="F40" s="12">
        <v>-195.61903962000008</v>
      </c>
    </row>
    <row r="41" spans="1:8" x14ac:dyDescent="0.35">
      <c r="A41" s="7" t="s">
        <v>139</v>
      </c>
      <c r="B41" s="12">
        <v>-120.15066229000001</v>
      </c>
      <c r="C41" s="12">
        <v>-124.333</v>
      </c>
      <c r="D41" s="12">
        <v>-119.571</v>
      </c>
      <c r="E41" s="12">
        <v>-123.39594699999998</v>
      </c>
      <c r="F41" s="12">
        <v>-125.33325500000007</v>
      </c>
    </row>
    <row r="42" spans="1:8" x14ac:dyDescent="0.35">
      <c r="A42" s="7" t="s">
        <v>140</v>
      </c>
      <c r="B42" s="12">
        <v>-68.957563139999991</v>
      </c>
      <c r="C42" s="12">
        <v>-68.699999999999989</v>
      </c>
      <c r="D42" s="12">
        <v>-70.876000000000005</v>
      </c>
      <c r="E42" s="12">
        <v>-62.326771409999992</v>
      </c>
      <c r="F42" s="12">
        <v>-70.285784620000015</v>
      </c>
    </row>
    <row r="43" spans="1:8" x14ac:dyDescent="0.35">
      <c r="A43" t="s">
        <v>141</v>
      </c>
      <c r="B43" s="12">
        <v>-23.706684660000001</v>
      </c>
      <c r="C43" s="12">
        <v>-23.112000000000002</v>
      </c>
      <c r="D43" s="12">
        <v>-21.984999999999999</v>
      </c>
      <c r="E43" s="12">
        <v>-22.266774590000011</v>
      </c>
      <c r="F43" s="12">
        <v>-21.964841499999999</v>
      </c>
    </row>
    <row r="44" spans="1:8" x14ac:dyDescent="0.35">
      <c r="A44" s="26" t="s">
        <v>142</v>
      </c>
      <c r="B44" s="30">
        <v>289.97025079890011</v>
      </c>
      <c r="C44" s="30">
        <v>241.60699999999994</v>
      </c>
      <c r="D44" s="30">
        <v>160.4799999999999</v>
      </c>
      <c r="E44" s="30">
        <v>139.07320901959451</v>
      </c>
      <c r="F44" s="30">
        <v>208.62378445884096</v>
      </c>
    </row>
    <row r="45" spans="1:8" x14ac:dyDescent="0.35">
      <c r="A45" t="s">
        <v>143</v>
      </c>
      <c r="B45" s="12">
        <v>-25.062022749999997</v>
      </c>
      <c r="C45" s="12">
        <v>-29.823</v>
      </c>
      <c r="D45" s="12">
        <v>-32.621000000000002</v>
      </c>
      <c r="E45" s="12">
        <v>-10.322956999999988</v>
      </c>
      <c r="F45" s="12">
        <v>-31.963625000000008</v>
      </c>
    </row>
    <row r="46" spans="1:8" x14ac:dyDescent="0.35">
      <c r="A46" t="s">
        <v>144</v>
      </c>
      <c r="B46" s="12">
        <v>-36.776277710000009</v>
      </c>
      <c r="C46" s="12">
        <v>-40.452999999999996</v>
      </c>
      <c r="D46" s="12">
        <v>-35.158999999999999</v>
      </c>
      <c r="E46" s="12">
        <v>-85.312287193961339</v>
      </c>
      <c r="F46" s="12">
        <v>-39.854914643961379</v>
      </c>
    </row>
    <row r="47" spans="1:8" x14ac:dyDescent="0.35">
      <c r="A47" s="26" t="s">
        <v>145</v>
      </c>
      <c r="B47" s="30">
        <v>228.13195033890011</v>
      </c>
      <c r="C47" s="30">
        <v>171.33099999999993</v>
      </c>
      <c r="D47" s="30">
        <v>92.699999999999903</v>
      </c>
      <c r="E47" s="30">
        <v>43.437964825633202</v>
      </c>
      <c r="F47" s="30">
        <v>136.80524481487959</v>
      </c>
    </row>
    <row r="48" spans="1:8" x14ac:dyDescent="0.35">
      <c r="A48" t="s">
        <v>146</v>
      </c>
      <c r="B48" s="12">
        <v>-37.882675640000002</v>
      </c>
      <c r="C48" s="12">
        <v>-21.33</v>
      </c>
      <c r="D48" s="12">
        <v>-20.084999999999997</v>
      </c>
      <c r="E48" s="12">
        <v>-31.775719000000002</v>
      </c>
      <c r="F48" s="12">
        <v>1.6187187800000036</v>
      </c>
    </row>
    <row r="49" spans="1:6" x14ac:dyDescent="0.35">
      <c r="A49" s="26" t="s">
        <v>147</v>
      </c>
      <c r="B49" s="30">
        <v>190.24927469890014</v>
      </c>
      <c r="C49" s="30">
        <v>150.00099999999992</v>
      </c>
      <c r="D49" s="30">
        <v>72.61499999999991</v>
      </c>
      <c r="E49" s="30">
        <v>11.6622458256332</v>
      </c>
      <c r="F49" s="30">
        <v>138.42396359487958</v>
      </c>
    </row>
    <row r="50" spans="1:6" x14ac:dyDescent="0.35">
      <c r="A50" t="s">
        <v>148</v>
      </c>
      <c r="B50" s="12">
        <v>-53.028397184000006</v>
      </c>
      <c r="C50" s="12">
        <v>-36.065000000000005</v>
      </c>
      <c r="D50" s="12">
        <v>-38.423999999999999</v>
      </c>
      <c r="E50" s="12">
        <v>-6.002996098465573</v>
      </c>
      <c r="F50" s="12">
        <v>-36.764806217279585</v>
      </c>
    </row>
    <row r="51" spans="1:6" x14ac:dyDescent="0.35">
      <c r="A51" s="26" t="s">
        <v>149</v>
      </c>
      <c r="B51" s="30">
        <v>137.22087751490011</v>
      </c>
      <c r="C51" s="30">
        <v>113.93599999999992</v>
      </c>
      <c r="D51" s="30">
        <v>34.19099999999991</v>
      </c>
      <c r="E51" s="30">
        <v>5.6592497271676265</v>
      </c>
      <c r="F51" s="30">
        <v>101.6591573776</v>
      </c>
    </row>
    <row r="52" spans="1:6" x14ac:dyDescent="0.35">
      <c r="A52" t="s">
        <v>150</v>
      </c>
      <c r="B52" s="12"/>
      <c r="C52" s="12"/>
      <c r="D52" s="12"/>
      <c r="E52" s="12"/>
      <c r="F52" s="12"/>
    </row>
    <row r="53" spans="1:6" x14ac:dyDescent="0.35">
      <c r="A53" s="26" t="s">
        <v>151</v>
      </c>
      <c r="B53" s="30">
        <v>137.22087751490011</v>
      </c>
      <c r="C53" s="30">
        <v>113.93599999999992</v>
      </c>
      <c r="D53" s="30">
        <v>34.19099999999991</v>
      </c>
      <c r="E53" s="30">
        <v>5.6592497271676265</v>
      </c>
      <c r="F53" s="30">
        <v>101.6591573776</v>
      </c>
    </row>
    <row r="54" spans="1:6" x14ac:dyDescent="0.35">
      <c r="A54" s="103" t="s">
        <v>152</v>
      </c>
      <c r="B54" s="104">
        <v>137.22087751490011</v>
      </c>
      <c r="C54" s="104">
        <v>113.93599999999992</v>
      </c>
      <c r="D54" s="104">
        <v>34.19099999999991</v>
      </c>
      <c r="E54" s="104">
        <v>5.6592497271676265</v>
      </c>
      <c r="F54" s="104">
        <v>101.6591573776</v>
      </c>
    </row>
    <row r="57" spans="1:6" x14ac:dyDescent="0.35">
      <c r="C57" s="12"/>
    </row>
  </sheetData>
  <mergeCells count="2">
    <mergeCell ref="A27:F27"/>
    <mergeCell ref="D1:F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24"/>
  <sheetViews>
    <sheetView showGridLines="0" zoomScale="85" zoomScaleNormal="85" workbookViewId="0">
      <pane xSplit="1" ySplit="3" topLeftCell="B5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32.26953125" customWidth="1"/>
    <col min="2" max="2" width="9.453125" customWidth="1"/>
    <col min="3" max="3" width="5.7265625" customWidth="1"/>
    <col min="4" max="4" width="7.81640625" bestFit="1" customWidth="1"/>
    <col min="5" max="5" width="1.7265625" customWidth="1"/>
    <col min="6" max="6" width="9.453125" customWidth="1"/>
    <col min="7" max="7" width="5.7265625" customWidth="1"/>
    <col min="8" max="8" width="7.81640625" bestFit="1" customWidth="1"/>
    <col min="9" max="9" width="1.7265625" customWidth="1"/>
    <col min="10" max="10" width="9.453125" customWidth="1"/>
    <col min="11" max="11" width="5.7265625" customWidth="1"/>
    <col min="12" max="12" width="7.81640625" bestFit="1" customWidth="1"/>
    <col min="13" max="13" width="1.7265625" customWidth="1"/>
    <col min="14" max="14" width="9.453125" customWidth="1"/>
    <col min="15" max="15" width="5.7265625" customWidth="1"/>
    <col min="16" max="16" width="7.81640625" bestFit="1" customWidth="1"/>
    <col min="17" max="17" width="1.7265625" customWidth="1"/>
    <col min="18" max="18" width="9.453125" customWidth="1"/>
    <col min="19" max="19" width="5.7265625" customWidth="1"/>
    <col min="20" max="20" width="7.81640625" bestFit="1" customWidth="1"/>
  </cols>
  <sheetData>
    <row r="1" spans="1:20" x14ac:dyDescent="0.35">
      <c r="B1" s="127"/>
      <c r="F1" s="127"/>
      <c r="J1" s="127"/>
      <c r="N1" s="127"/>
      <c r="R1" s="127"/>
    </row>
    <row r="2" spans="1:20" ht="15.5" x14ac:dyDescent="0.35">
      <c r="A2" s="19" t="s">
        <v>154</v>
      </c>
      <c r="B2" s="128"/>
      <c r="C2" s="128"/>
      <c r="D2" s="128"/>
      <c r="E2" s="19"/>
      <c r="F2" s="128"/>
      <c r="G2" s="128"/>
      <c r="H2" s="128"/>
      <c r="I2" s="19"/>
      <c r="J2" s="128"/>
      <c r="K2" s="128"/>
      <c r="L2" s="128"/>
      <c r="M2" s="19"/>
      <c r="N2" s="128"/>
      <c r="O2" s="128"/>
      <c r="P2" s="128"/>
      <c r="Q2" s="19"/>
      <c r="R2" s="128"/>
      <c r="S2" s="128"/>
      <c r="T2" s="128"/>
    </row>
    <row r="3" spans="1:20" x14ac:dyDescent="0.35">
      <c r="A3" s="20" t="s">
        <v>155</v>
      </c>
      <c r="B3" s="151" t="s">
        <v>281</v>
      </c>
      <c r="C3" s="151"/>
      <c r="D3" s="151"/>
      <c r="E3" s="20"/>
      <c r="F3" s="151" t="s">
        <v>280</v>
      </c>
      <c r="G3" s="151"/>
      <c r="H3" s="151"/>
      <c r="I3" s="20"/>
      <c r="J3" s="151" t="s">
        <v>268</v>
      </c>
      <c r="K3" s="151"/>
      <c r="L3" s="151"/>
      <c r="M3" s="20"/>
      <c r="N3" s="151" t="s">
        <v>256</v>
      </c>
      <c r="O3" s="151"/>
      <c r="P3" s="151"/>
      <c r="Q3" s="20"/>
      <c r="R3" s="151" t="s">
        <v>227</v>
      </c>
      <c r="S3" s="151"/>
      <c r="T3" s="151"/>
    </row>
    <row r="4" spans="1:20" ht="30" customHeight="1" x14ac:dyDescent="0.35">
      <c r="B4" s="89" t="s">
        <v>156</v>
      </c>
      <c r="C4" s="89" t="s">
        <v>157</v>
      </c>
      <c r="D4" s="89" t="s">
        <v>158</v>
      </c>
      <c r="E4" s="90"/>
      <c r="F4" s="89" t="s">
        <v>156</v>
      </c>
      <c r="G4" s="89" t="s">
        <v>157</v>
      </c>
      <c r="H4" s="89" t="s">
        <v>158</v>
      </c>
      <c r="I4" s="90"/>
      <c r="J4" s="89" t="s">
        <v>156</v>
      </c>
      <c r="K4" s="89" t="s">
        <v>157</v>
      </c>
      <c r="L4" s="89" t="s">
        <v>158</v>
      </c>
      <c r="M4" s="90"/>
      <c r="N4" s="89" t="s">
        <v>156</v>
      </c>
      <c r="O4" s="89" t="s">
        <v>157</v>
      </c>
      <c r="P4" s="89" t="s">
        <v>158</v>
      </c>
      <c r="Q4" s="90"/>
      <c r="R4" s="89" t="s">
        <v>156</v>
      </c>
      <c r="S4" s="89" t="s">
        <v>157</v>
      </c>
      <c r="T4" s="89" t="s">
        <v>158</v>
      </c>
    </row>
    <row r="5" spans="1:20" x14ac:dyDescent="0.35">
      <c r="A5" t="s">
        <v>159</v>
      </c>
      <c r="B5" s="12">
        <v>5812.9387935370114</v>
      </c>
      <c r="C5" s="132">
        <v>48.105670619999977</v>
      </c>
      <c r="D5" s="75">
        <v>3.28326215166424</v>
      </c>
      <c r="E5" s="75"/>
      <c r="F5" s="12">
        <v>10211.640287837143</v>
      </c>
      <c r="G5" s="132">
        <v>77.903657460000005</v>
      </c>
      <c r="H5" s="75">
        <v>3.0599463473080717</v>
      </c>
      <c r="I5" s="75"/>
      <c r="J5" s="12">
        <v>8720.7121199188878</v>
      </c>
      <c r="K5" s="132">
        <v>48.515646920000002</v>
      </c>
      <c r="L5" s="75">
        <v>2.2562136978282439</v>
      </c>
      <c r="M5" s="75"/>
      <c r="N5" s="12">
        <v>12019.801247379013</v>
      </c>
      <c r="O5" s="132">
        <v>35.903077439999997</v>
      </c>
      <c r="P5" s="75">
        <v>1.1850575088822106</v>
      </c>
      <c r="Q5" s="75"/>
      <c r="R5" s="12">
        <v>16937.604244679242</v>
      </c>
      <c r="S5" s="132">
        <v>2.1315708499999966</v>
      </c>
      <c r="T5" s="75">
        <v>4.9928995463144624E-2</v>
      </c>
    </row>
    <row r="6" spans="1:20" x14ac:dyDescent="0.35">
      <c r="A6" t="s">
        <v>160</v>
      </c>
      <c r="B6" s="12">
        <v>25660.837463516578</v>
      </c>
      <c r="C6" s="132">
        <v>162.13062853000005</v>
      </c>
      <c r="D6" s="75">
        <v>2.5066822028427298</v>
      </c>
      <c r="E6" s="75"/>
      <c r="F6" s="12">
        <v>26346.685813685555</v>
      </c>
      <c r="G6" s="132">
        <v>154.49578731</v>
      </c>
      <c r="H6" s="75">
        <v>2.352026017718774</v>
      </c>
      <c r="I6" s="75"/>
      <c r="J6" s="12">
        <v>27049.526603869828</v>
      </c>
      <c r="K6" s="132">
        <v>142.14771934000001</v>
      </c>
      <c r="L6" s="75">
        <v>2.1312312829771076</v>
      </c>
      <c r="M6" s="75"/>
      <c r="N6" s="12">
        <v>27551.615718691046</v>
      </c>
      <c r="O6" s="132">
        <v>128.17512075000005</v>
      </c>
      <c r="P6" s="75">
        <v>1.8457024977751184</v>
      </c>
      <c r="Q6" s="75"/>
      <c r="R6" s="12">
        <v>27158.767989463835</v>
      </c>
      <c r="S6" s="132">
        <v>101.63160502999997</v>
      </c>
      <c r="T6" s="75">
        <v>1.4846488846598629</v>
      </c>
    </row>
    <row r="7" spans="1:20" x14ac:dyDescent="0.35">
      <c r="A7" s="92" t="s">
        <v>161</v>
      </c>
      <c r="B7" s="93">
        <v>51667.371623890729</v>
      </c>
      <c r="C7" s="133">
        <v>402.22687773000007</v>
      </c>
      <c r="D7" s="94">
        <v>3.0885864074864084</v>
      </c>
      <c r="E7" s="94"/>
      <c r="F7" s="93">
        <v>53002.02873011741</v>
      </c>
      <c r="G7" s="133">
        <v>347.10426061999999</v>
      </c>
      <c r="H7" s="94">
        <v>2.6267511043840028</v>
      </c>
      <c r="I7" s="94"/>
      <c r="J7" s="93">
        <v>54002.457949163057</v>
      </c>
      <c r="K7" s="133">
        <v>288.69214537999994</v>
      </c>
      <c r="L7" s="94">
        <v>2.168062489198709</v>
      </c>
      <c r="M7" s="94"/>
      <c r="N7" s="93">
        <v>55479.306671487902</v>
      </c>
      <c r="O7" s="133">
        <v>223.34071126000032</v>
      </c>
      <c r="P7" s="94">
        <v>1.5971360294867578</v>
      </c>
      <c r="Q7" s="94"/>
      <c r="R7" s="93">
        <v>55432.267456459806</v>
      </c>
      <c r="S7" s="133">
        <v>198.08344168999977</v>
      </c>
      <c r="T7" s="94">
        <v>1.4177203281707229</v>
      </c>
    </row>
    <row r="8" spans="1:20" x14ac:dyDescent="0.35">
      <c r="A8" t="s">
        <v>162</v>
      </c>
      <c r="B8" s="12"/>
      <c r="C8" s="132">
        <v>1.2390131500000008</v>
      </c>
      <c r="D8" s="75"/>
      <c r="E8" s="75"/>
      <c r="F8" s="12"/>
      <c r="G8" s="132">
        <v>4.4667679000000007</v>
      </c>
      <c r="H8" s="75"/>
      <c r="I8" s="75"/>
      <c r="J8" s="12"/>
      <c r="K8" s="132">
        <v>2.3586128299999998</v>
      </c>
      <c r="L8" s="75"/>
      <c r="M8" s="75"/>
      <c r="N8" s="12"/>
      <c r="O8" s="132">
        <v>3.9342669200001219</v>
      </c>
      <c r="P8" s="75"/>
      <c r="Q8" s="75"/>
      <c r="R8" s="12"/>
      <c r="S8" s="132">
        <v>3.7849165099999555</v>
      </c>
      <c r="T8" s="75"/>
    </row>
    <row r="9" spans="1:20" x14ac:dyDescent="0.35">
      <c r="A9" s="26" t="s">
        <v>61</v>
      </c>
      <c r="B9" s="30">
        <v>96251.690597943903</v>
      </c>
      <c r="C9" s="131">
        <v>613.70219003000011</v>
      </c>
      <c r="D9" s="55"/>
      <c r="E9" s="55"/>
      <c r="F9" s="30">
        <v>101196.39267416115</v>
      </c>
      <c r="G9" s="131">
        <v>583.97047329000009</v>
      </c>
      <c r="H9" s="55"/>
      <c r="I9" s="55"/>
      <c r="J9" s="30">
        <v>102060.38916519389</v>
      </c>
      <c r="K9" s="131">
        <v>481.71412446999994</v>
      </c>
      <c r="L9" s="55"/>
      <c r="M9" s="55"/>
      <c r="N9" s="30">
        <v>105971.32750666539</v>
      </c>
      <c r="O9" s="131">
        <v>391.35317637000048</v>
      </c>
      <c r="P9" s="55"/>
      <c r="Q9" s="55"/>
      <c r="R9" s="30">
        <v>113881.10646467069</v>
      </c>
      <c r="S9" s="131">
        <v>305.63153407999971</v>
      </c>
      <c r="T9" s="55"/>
    </row>
    <row r="10" spans="1:20" x14ac:dyDescent="0.35">
      <c r="A10" t="s">
        <v>163</v>
      </c>
      <c r="B10" s="12">
        <v>6551.831020436307</v>
      </c>
      <c r="C10" s="132">
        <v>67.278931790000001</v>
      </c>
      <c r="D10" s="56">
        <v>4.0740038642156762</v>
      </c>
      <c r="E10" s="56"/>
      <c r="F10" s="12">
        <v>12209.21626803967</v>
      </c>
      <c r="G10" s="132">
        <v>104.94548225</v>
      </c>
      <c r="H10" s="56">
        <v>3.447683838311419</v>
      </c>
      <c r="I10" s="56"/>
      <c r="J10" s="12">
        <v>12758.650785641557</v>
      </c>
      <c r="K10" s="132">
        <v>85.077647330000005</v>
      </c>
      <c r="L10" s="56">
        <v>2.7043386568043597</v>
      </c>
      <c r="M10" s="56"/>
      <c r="N10" s="12">
        <v>17475.113237089576</v>
      </c>
      <c r="O10" s="132">
        <v>33.994535309999982</v>
      </c>
      <c r="P10" s="56">
        <v>0.77178111497434365</v>
      </c>
      <c r="Q10" s="56"/>
      <c r="R10" s="12">
        <v>21562.550543838748</v>
      </c>
      <c r="S10" s="132">
        <v>2.1392487599999948</v>
      </c>
      <c r="T10" s="56">
        <v>3.9361006533088355E-2</v>
      </c>
    </row>
    <row r="11" spans="1:20" x14ac:dyDescent="0.35">
      <c r="A11" t="s">
        <v>164</v>
      </c>
      <c r="B11" s="12">
        <v>8597.7425685973358</v>
      </c>
      <c r="C11" s="132">
        <v>92.59481340666666</v>
      </c>
      <c r="D11" s="56">
        <v>4.2727478126534688</v>
      </c>
      <c r="E11" s="56"/>
      <c r="F11" s="12">
        <v>8129.9794374093399</v>
      </c>
      <c r="G11" s="132">
        <v>80.909988580000004</v>
      </c>
      <c r="H11" s="56">
        <v>3.9917576369300045</v>
      </c>
      <c r="I11" s="56"/>
      <c r="J11" s="12">
        <v>7869.1599349788321</v>
      </c>
      <c r="K11" s="132">
        <v>64.137625360000001</v>
      </c>
      <c r="L11" s="56">
        <v>3.3054824784113195</v>
      </c>
      <c r="M11" s="56"/>
      <c r="N11" s="12">
        <v>7706.5146893404317</v>
      </c>
      <c r="O11" s="132">
        <v>45.025039669999998</v>
      </c>
      <c r="P11" s="56">
        <v>2.3179343460118971</v>
      </c>
      <c r="Q11" s="56"/>
      <c r="R11" s="12">
        <v>7642.1491744344057</v>
      </c>
      <c r="S11" s="132">
        <v>26.302754820000025</v>
      </c>
      <c r="T11" s="56">
        <v>1.3654970397903041</v>
      </c>
    </row>
    <row r="12" spans="1:20" x14ac:dyDescent="0.35">
      <c r="A12" s="92" t="s">
        <v>165</v>
      </c>
      <c r="B12" s="93">
        <v>66728.808868789085</v>
      </c>
      <c r="C12" s="133">
        <v>79.765583510000013</v>
      </c>
      <c r="D12" s="95">
        <v>0.47424985964618671</v>
      </c>
      <c r="E12" s="95"/>
      <c r="F12" s="93">
        <v>67335.512375314647</v>
      </c>
      <c r="G12" s="133">
        <v>62.346390699999986</v>
      </c>
      <c r="H12" s="95">
        <v>0.37138009224416907</v>
      </c>
      <c r="I12" s="95"/>
      <c r="J12" s="93">
        <v>67776.350833043223</v>
      </c>
      <c r="K12" s="133">
        <v>26.526719230000005</v>
      </c>
      <c r="L12" s="95">
        <v>0.15872879289251995</v>
      </c>
      <c r="M12" s="95"/>
      <c r="N12" s="93">
        <v>69150.294513048037</v>
      </c>
      <c r="O12" s="133">
        <v>9.3567154799999699</v>
      </c>
      <c r="P12" s="95">
        <v>5.3682709370968827E-2</v>
      </c>
      <c r="Q12" s="95"/>
      <c r="R12" s="93">
        <v>69778.014323341617</v>
      </c>
      <c r="S12" s="133">
        <v>2.4282068899999945</v>
      </c>
      <c r="T12" s="95">
        <v>1.3806135061256511E-2</v>
      </c>
    </row>
    <row r="13" spans="1:20" x14ac:dyDescent="0.35">
      <c r="A13" s="7" t="s">
        <v>166</v>
      </c>
      <c r="B13" s="12">
        <v>52943.727497739033</v>
      </c>
      <c r="C13" s="132">
        <v>22.167196619999995</v>
      </c>
      <c r="D13" s="56">
        <v>0.16611211047751073</v>
      </c>
      <c r="E13" s="56"/>
      <c r="F13" s="12">
        <v>54278.456348636806</v>
      </c>
      <c r="G13" s="132">
        <v>20.217692119999999</v>
      </c>
      <c r="H13" s="56">
        <v>0.14940170811050663</v>
      </c>
      <c r="I13" s="56"/>
      <c r="J13" s="12">
        <v>55838.257675439614</v>
      </c>
      <c r="K13" s="132">
        <v>9.7864033900000003</v>
      </c>
      <c r="L13" s="56">
        <v>7.1079049185088575E-2</v>
      </c>
      <c r="M13" s="56"/>
      <c r="N13" s="12">
        <v>57157.965676847598</v>
      </c>
      <c r="O13" s="132">
        <v>5.4296171999999991</v>
      </c>
      <c r="P13" s="56">
        <v>3.7687513560236717E-2</v>
      </c>
      <c r="Q13" s="56"/>
      <c r="R13" s="12">
        <v>57475.215580006356</v>
      </c>
      <c r="S13" s="132">
        <v>1.6570188900000007</v>
      </c>
      <c r="T13" s="56">
        <v>1.1438047285224925E-2</v>
      </c>
    </row>
    <row r="14" spans="1:20" x14ac:dyDescent="0.35">
      <c r="A14" s="7" t="s">
        <v>167</v>
      </c>
      <c r="B14" s="12">
        <v>8211.6727771306541</v>
      </c>
      <c r="C14" s="132">
        <v>30.187067700000011</v>
      </c>
      <c r="D14" s="56">
        <v>1.4584593559339003</v>
      </c>
      <c r="E14" s="56"/>
      <c r="F14" s="12">
        <v>7420.2011725417033</v>
      </c>
      <c r="G14" s="132">
        <v>19.525126819999986</v>
      </c>
      <c r="H14" s="56">
        <v>1.0554305374224895</v>
      </c>
      <c r="I14" s="56"/>
      <c r="J14" s="12">
        <v>6073.914571090334</v>
      </c>
      <c r="K14" s="132">
        <v>7.0207707400000059</v>
      </c>
      <c r="L14" s="56">
        <v>0.46877718554704129</v>
      </c>
      <c r="M14" s="56"/>
      <c r="N14" s="12">
        <v>5302.5926906824998</v>
      </c>
      <c r="O14" s="132">
        <v>1.649444799999972</v>
      </c>
      <c r="P14" s="56">
        <v>0.12341119407531462</v>
      </c>
      <c r="Q14" s="56"/>
      <c r="R14" s="12">
        <v>5218.3181140368479</v>
      </c>
      <c r="S14" s="132">
        <v>0.62688018999999395</v>
      </c>
      <c r="T14" s="56">
        <v>4.7660548098511862E-2</v>
      </c>
    </row>
    <row r="15" spans="1:20" x14ac:dyDescent="0.35">
      <c r="A15" t="s">
        <v>168</v>
      </c>
      <c r="B15" s="12">
        <v>599.14200000000005</v>
      </c>
      <c r="C15" s="132">
        <v>10.434595556073058</v>
      </c>
      <c r="D15" s="56">
        <v>6.9095679611095058</v>
      </c>
      <c r="E15" s="56"/>
      <c r="F15" s="12">
        <v>599.14200000000005</v>
      </c>
      <c r="G15" s="132">
        <v>9.2078274400000009</v>
      </c>
      <c r="H15" s="56">
        <v>6.1642306292870597</v>
      </c>
      <c r="I15" s="56"/>
      <c r="J15" s="12">
        <v>599.14200000000005</v>
      </c>
      <c r="K15" s="132">
        <v>8.2115273599999998</v>
      </c>
      <c r="L15" s="56">
        <v>5.5583326497632344</v>
      </c>
      <c r="M15" s="56"/>
      <c r="N15" s="12">
        <v>599.14200000000005</v>
      </c>
      <c r="O15" s="132">
        <v>5.960071860000002</v>
      </c>
      <c r="P15" s="56">
        <v>3.9466332306284957</v>
      </c>
      <c r="Q15" s="56"/>
      <c r="R15" s="12">
        <v>599.14200000000005</v>
      </c>
      <c r="S15" s="132">
        <v>4.8672312400000006</v>
      </c>
      <c r="T15" s="56">
        <v>3.2229773405680269</v>
      </c>
    </row>
    <row r="16" spans="1:20" x14ac:dyDescent="0.35">
      <c r="A16" t="s">
        <v>169</v>
      </c>
      <c r="B16" s="12"/>
      <c r="C16" s="132">
        <v>6.2539119572604864</v>
      </c>
      <c r="D16" s="56"/>
      <c r="E16" s="56"/>
      <c r="F16" s="12"/>
      <c r="G16" s="132">
        <v>5.9805759499999489</v>
      </c>
      <c r="H16" s="56"/>
      <c r="I16" s="56"/>
      <c r="J16" s="12"/>
      <c r="K16" s="132">
        <v>2.6758135599999813</v>
      </c>
      <c r="L16" s="56"/>
      <c r="M16" s="56"/>
      <c r="N16" s="12"/>
      <c r="O16" s="132">
        <v>-0.16418732000000455</v>
      </c>
      <c r="P16" s="56"/>
      <c r="Q16" s="56"/>
      <c r="R16" s="12"/>
      <c r="S16" s="132">
        <v>2.9292381999999542</v>
      </c>
      <c r="T16" s="56"/>
    </row>
    <row r="17" spans="1:20" ht="15" thickBot="1" x14ac:dyDescent="0.4">
      <c r="A17" s="26" t="s">
        <v>170</v>
      </c>
      <c r="B17" s="30">
        <v>96251.690597943903</v>
      </c>
      <c r="C17" s="131">
        <v>256.32783622000022</v>
      </c>
      <c r="D17" s="57"/>
      <c r="E17" s="57"/>
      <c r="F17" s="30">
        <v>101196.39267416115</v>
      </c>
      <c r="G17" s="131">
        <v>263.39026491999994</v>
      </c>
      <c r="H17" s="57"/>
      <c r="I17" s="57"/>
      <c r="J17" s="30">
        <v>102060.38916519389</v>
      </c>
      <c r="K17" s="131">
        <v>186.62933283999999</v>
      </c>
      <c r="L17" s="57"/>
      <c r="M17" s="57"/>
      <c r="N17" s="30">
        <v>105971.32750666539</v>
      </c>
      <c r="O17" s="131">
        <v>94.172174999999939</v>
      </c>
      <c r="P17" s="57"/>
      <c r="Q17" s="57"/>
      <c r="R17" s="30">
        <v>113881.10646467069</v>
      </c>
      <c r="S17" s="131">
        <v>38.666679909999971</v>
      </c>
      <c r="T17" s="57"/>
    </row>
    <row r="18" spans="1:20" ht="15" thickBot="1" x14ac:dyDescent="0.4">
      <c r="A18" s="96" t="s">
        <v>171</v>
      </c>
      <c r="B18" s="97"/>
      <c r="C18" s="97"/>
      <c r="D18" s="98">
        <v>2.6143365478402218</v>
      </c>
      <c r="E18" s="98"/>
      <c r="F18" s="97"/>
      <c r="G18" s="97"/>
      <c r="H18" s="98">
        <v>2.2553710121398338</v>
      </c>
      <c r="I18" s="98"/>
      <c r="J18" s="97"/>
      <c r="K18" s="97"/>
      <c r="L18" s="98">
        <v>2.009333696306189</v>
      </c>
      <c r="M18" s="98"/>
      <c r="N18" s="97"/>
      <c r="O18" s="97"/>
      <c r="P18" s="98">
        <v>1.543453320115789</v>
      </c>
      <c r="Q18" s="98"/>
      <c r="R18" s="97"/>
      <c r="S18" s="97"/>
      <c r="T18" s="98">
        <v>1.4039141931094663</v>
      </c>
    </row>
    <row r="19" spans="1:20" x14ac:dyDescent="0.35">
      <c r="A19" s="26" t="s">
        <v>131</v>
      </c>
      <c r="B19" s="30"/>
      <c r="C19" s="131">
        <v>357.37435380999989</v>
      </c>
      <c r="D19" s="131"/>
      <c r="E19" s="131"/>
      <c r="F19" s="131"/>
      <c r="G19" s="131">
        <v>320.58020837000015</v>
      </c>
      <c r="H19" s="131"/>
      <c r="I19" s="131"/>
      <c r="J19" s="131"/>
      <c r="K19" s="131">
        <v>295.08479162999993</v>
      </c>
      <c r="L19" s="131"/>
      <c r="M19" s="131"/>
      <c r="N19" s="131"/>
      <c r="O19" s="131">
        <v>297.18100137000056</v>
      </c>
      <c r="P19" s="131"/>
      <c r="Q19" s="131"/>
      <c r="R19" s="131"/>
      <c r="S19" s="131">
        <v>266.96485416999974</v>
      </c>
      <c r="T19" s="58"/>
    </row>
    <row r="20" spans="1:20" ht="11.15" customHeight="1" x14ac:dyDescent="0.35">
      <c r="A20" s="10" t="s">
        <v>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Q20" s="10"/>
    </row>
    <row r="21" spans="1:20" ht="11.15" customHeight="1" x14ac:dyDescent="0.35">
      <c r="A21" s="10" t="s">
        <v>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79"/>
    </row>
    <row r="22" spans="1:20" ht="11.15" customHeight="1" x14ac:dyDescent="0.35">
      <c r="A22" s="10" t="s">
        <v>6</v>
      </c>
      <c r="B22" s="10"/>
      <c r="C22" s="10"/>
      <c r="D22" s="10"/>
      <c r="E22" s="10"/>
      <c r="F22" s="10"/>
      <c r="G22" s="10"/>
      <c r="H22" s="10"/>
      <c r="I22" s="10"/>
      <c r="J22" s="99" t="s">
        <v>7</v>
      </c>
      <c r="K22" s="10"/>
      <c r="L22" s="10"/>
      <c r="M22" s="10"/>
      <c r="O22" s="10"/>
      <c r="P22" s="10"/>
      <c r="Q22" s="10"/>
      <c r="R22" s="10"/>
      <c r="S22" s="10"/>
      <c r="T22" s="10"/>
    </row>
    <row r="23" spans="1:20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35">
      <c r="A24" s="10"/>
      <c r="B24" s="10"/>
      <c r="C24" s="143"/>
      <c r="D24" s="10"/>
      <c r="E24" s="10"/>
      <c r="F24" s="10"/>
      <c r="G24" s="143"/>
      <c r="H24" s="142"/>
      <c r="I24" s="10"/>
      <c r="J24" s="10"/>
      <c r="K24" s="10"/>
      <c r="L24" s="10"/>
      <c r="M24" s="10"/>
      <c r="Q24" s="10"/>
    </row>
  </sheetData>
  <mergeCells count="5">
    <mergeCell ref="B3:D3"/>
    <mergeCell ref="F3:H3"/>
    <mergeCell ref="J3:L3"/>
    <mergeCell ref="N3:P3"/>
    <mergeCell ref="R3:T3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4294967294" vertic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67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54.453125" customWidth="1"/>
    <col min="2" max="10" width="9.7265625" customWidth="1"/>
  </cols>
  <sheetData>
    <row r="1" spans="1:10" ht="15.5" x14ac:dyDescent="0.35">
      <c r="A1" s="19" t="s">
        <v>172</v>
      </c>
      <c r="B1" s="136">
        <f>MAX(Relevantes!B2)</f>
        <v>45199</v>
      </c>
      <c r="C1" s="136">
        <f>EOMONTH(B1,-3)</f>
        <v>45107</v>
      </c>
      <c r="D1" s="136">
        <f t="shared" ref="D1:F1" si="0">EOMONTH(C1,-3)</f>
        <v>45016</v>
      </c>
      <c r="E1" s="136">
        <f t="shared" si="0"/>
        <v>44926</v>
      </c>
      <c r="F1" s="136">
        <f t="shared" si="0"/>
        <v>44834</v>
      </c>
    </row>
    <row r="2" spans="1:10" ht="29.5" thickBot="1" x14ac:dyDescent="0.4">
      <c r="A2" s="20" t="s">
        <v>48</v>
      </c>
      <c r="B2" s="23" t="s">
        <v>281</v>
      </c>
      <c r="C2" s="23" t="s">
        <v>280</v>
      </c>
      <c r="D2" s="23" t="s">
        <v>268</v>
      </c>
      <c r="E2" s="23" t="s">
        <v>256</v>
      </c>
      <c r="F2" s="23" t="s">
        <v>227</v>
      </c>
      <c r="G2" s="23" t="s">
        <v>284</v>
      </c>
      <c r="H2" s="23" t="s">
        <v>285</v>
      </c>
      <c r="I2" s="22" t="s">
        <v>207</v>
      </c>
      <c r="J2" s="145" t="s">
        <v>286</v>
      </c>
    </row>
    <row r="3" spans="1:10" x14ac:dyDescent="0.35">
      <c r="A3" s="33" t="s">
        <v>173</v>
      </c>
      <c r="B3" s="34">
        <v>146.98804999999999</v>
      </c>
      <c r="C3" s="34">
        <v>144.75399999999996</v>
      </c>
      <c r="D3" s="34">
        <v>145.94900000000001</v>
      </c>
      <c r="E3" s="34">
        <v>140.57077600000002</v>
      </c>
      <c r="F3" s="34">
        <v>145.40007800000001</v>
      </c>
      <c r="G3" s="34">
        <v>143.08139682999999</v>
      </c>
      <c r="H3" s="34">
        <v>144.19174917000001</v>
      </c>
      <c r="I3" s="144">
        <v>1.5433424983074984E-2</v>
      </c>
      <c r="J3" s="35">
        <v>1.1597264914179117E-2</v>
      </c>
    </row>
    <row r="4" spans="1:10" x14ac:dyDescent="0.35">
      <c r="A4" t="s">
        <v>174</v>
      </c>
      <c r="B4" s="12">
        <v>75.102343487999974</v>
      </c>
      <c r="C4" s="12">
        <v>75.164250622000026</v>
      </c>
      <c r="D4" s="12">
        <v>73.102350889999997</v>
      </c>
      <c r="E4" s="12">
        <v>73.64455700000002</v>
      </c>
      <c r="F4" s="12">
        <v>77.607807999800031</v>
      </c>
      <c r="G4" s="12">
        <v>72.065209690199978</v>
      </c>
      <c r="H4" s="12">
        <v>74.82357931</v>
      </c>
      <c r="I4" s="24">
        <v>-8.236247083920345E-4</v>
      </c>
      <c r="J4" s="115">
        <v>-5.0230249147162898E-3</v>
      </c>
    </row>
    <row r="5" spans="1:10" x14ac:dyDescent="0.35">
      <c r="A5" t="s">
        <v>271</v>
      </c>
      <c r="B5" s="12">
        <v>23.936990999999992</v>
      </c>
      <c r="C5" s="12">
        <v>25.357693680000004</v>
      </c>
      <c r="D5" s="12">
        <v>24.997796319999999</v>
      </c>
      <c r="E5" s="12">
        <v>22.641007439999996</v>
      </c>
      <c r="F5" s="12">
        <v>22.396191475000009</v>
      </c>
      <c r="G5" s="12">
        <v>25.482233304999998</v>
      </c>
      <c r="H5" s="12">
        <v>27.679708250000001</v>
      </c>
      <c r="I5" s="24">
        <v>-5.6026494283292871E-2</v>
      </c>
      <c r="J5" s="115">
        <v>-1.6750705440240155E-2</v>
      </c>
    </row>
    <row r="6" spans="1:10" x14ac:dyDescent="0.35">
      <c r="A6" t="s">
        <v>272</v>
      </c>
      <c r="B6" s="12">
        <v>33.260999999999996</v>
      </c>
      <c r="C6" s="12">
        <v>31.204000000000001</v>
      </c>
      <c r="D6" s="12">
        <v>32.988030999999999</v>
      </c>
      <c r="E6" s="12">
        <v>33.856682180000021</v>
      </c>
      <c r="F6" s="12">
        <v>34.375094819999987</v>
      </c>
      <c r="G6" s="12">
        <v>33.617906550000001</v>
      </c>
      <c r="H6" s="12">
        <v>27.529613449999996</v>
      </c>
      <c r="I6" s="24">
        <v>6.5921035764645364E-2</v>
      </c>
      <c r="J6" s="115">
        <v>2.0208996410301605E-2</v>
      </c>
    </row>
    <row r="7" spans="1:10" x14ac:dyDescent="0.35">
      <c r="A7" t="s">
        <v>273</v>
      </c>
      <c r="B7" s="12">
        <v>2.663894</v>
      </c>
      <c r="C7" s="12">
        <v>2.3746153200000006</v>
      </c>
      <c r="D7" s="12">
        <v>2.6738586799999999</v>
      </c>
      <c r="E7" s="12">
        <v>2.6813379800000003</v>
      </c>
      <c r="F7" s="12">
        <v>2.9111376149999977</v>
      </c>
      <c r="G7" s="12">
        <v>2.5916044950000008</v>
      </c>
      <c r="H7" s="12">
        <v>3.19447444</v>
      </c>
      <c r="I7" s="24">
        <v>0.12182128093067268</v>
      </c>
      <c r="J7" s="115">
        <v>-0.11323721150762867</v>
      </c>
    </row>
    <row r="8" spans="1:10" x14ac:dyDescent="0.35">
      <c r="A8" t="s">
        <v>175</v>
      </c>
      <c r="B8" s="12">
        <v>12.023821511999984</v>
      </c>
      <c r="C8" s="12">
        <v>10.653440377999914</v>
      </c>
      <c r="D8" s="12">
        <v>12.186963110000022</v>
      </c>
      <c r="E8" s="12">
        <v>7.7471914000000197</v>
      </c>
      <c r="F8" s="12">
        <v>8.1098460901999374</v>
      </c>
      <c r="G8" s="12">
        <v>17.726063009800029</v>
      </c>
      <c r="H8" s="12">
        <v>2.5627534999999999</v>
      </c>
      <c r="I8" s="24">
        <v>0.12863273134094788</v>
      </c>
      <c r="J8" s="115">
        <v>0.22767136928483245</v>
      </c>
    </row>
    <row r="9" spans="1:10" x14ac:dyDescent="0.35">
      <c r="A9" s="33" t="s">
        <v>176</v>
      </c>
      <c r="B9" s="34">
        <v>15.439067000000005</v>
      </c>
      <c r="C9" s="34">
        <v>10.606</v>
      </c>
      <c r="D9" s="34">
        <v>10.996</v>
      </c>
      <c r="E9" s="34">
        <v>9.7194000000000074</v>
      </c>
      <c r="F9" s="34">
        <v>14.867724999999997</v>
      </c>
      <c r="G9" s="34">
        <v>12.629371129999999</v>
      </c>
      <c r="H9" s="34">
        <v>10.99550387</v>
      </c>
      <c r="I9" s="144">
        <v>0.4556917782387333</v>
      </c>
      <c r="J9" s="35">
        <v>-3.7709403885421877E-2</v>
      </c>
    </row>
    <row r="10" spans="1:10" x14ac:dyDescent="0.35">
      <c r="A10" s="26" t="s">
        <v>177</v>
      </c>
      <c r="B10" s="30">
        <v>131.54898299999996</v>
      </c>
      <c r="C10" s="30">
        <v>134.148</v>
      </c>
      <c r="D10" s="30">
        <v>134.953</v>
      </c>
      <c r="E10" s="30">
        <v>130.85137600000002</v>
      </c>
      <c r="F10" s="30">
        <v>130.532353</v>
      </c>
      <c r="G10" s="30">
        <v>130.45202570000001</v>
      </c>
      <c r="H10" s="30">
        <v>133.19624530000002</v>
      </c>
      <c r="I10" s="31">
        <v>-1.9374250827444595E-2</v>
      </c>
      <c r="J10" s="32">
        <v>1.6412168955316053E-2</v>
      </c>
    </row>
    <row r="67" spans="1:4" x14ac:dyDescent="0.35">
      <c r="A67" s="76"/>
      <c r="B67" s="76"/>
      <c r="C67" s="76"/>
      <c r="D67" s="76"/>
    </row>
  </sheetData>
  <pageMargins left="0.70866141732283472" right="0.70866141732283472" top="0.74803149606299213" bottom="0.74803149606299213" header="0.31496062992125984" footer="0.31496062992125984"/>
  <pageSetup paperSize="9" scale="51" orientation="portrait" horizontalDpi="4294967294" verticalDpi="4294967294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32"/>
  <sheetViews>
    <sheetView showGridLines="0" zoomScale="85" zoomScaleNormal="85" workbookViewId="0">
      <pane xSplit="1" ySplit="2" topLeftCell="B8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50.54296875" customWidth="1"/>
    <col min="2" max="3" width="11.1796875" customWidth="1"/>
    <col min="4" max="5" width="11.26953125" bestFit="1" customWidth="1"/>
    <col min="8" max="8" width="12.26953125" customWidth="1"/>
    <col min="9" max="9" width="16.26953125" bestFit="1" customWidth="1"/>
    <col min="10" max="14" width="11.26953125" bestFit="1" customWidth="1"/>
  </cols>
  <sheetData>
    <row r="1" spans="1:10" ht="15.5" x14ac:dyDescent="0.35">
      <c r="A1" s="19" t="s">
        <v>3</v>
      </c>
      <c r="B1" s="19"/>
      <c r="C1" s="19"/>
      <c r="D1" s="19"/>
      <c r="E1" s="151" t="s">
        <v>126</v>
      </c>
      <c r="F1" s="151"/>
    </row>
    <row r="2" spans="1:10" ht="15" thickBot="1" x14ac:dyDescent="0.4">
      <c r="A2" s="20" t="s">
        <v>48</v>
      </c>
      <c r="B2" s="22">
        <f>MAX(Relevantes!$2:$2)</f>
        <v>45199</v>
      </c>
      <c r="C2" s="22">
        <f>EOMONTH(B2,-3)</f>
        <v>45107</v>
      </c>
      <c r="D2" s="22">
        <f>EOMONTH(B2,-12)</f>
        <v>44834</v>
      </c>
      <c r="E2" s="22" t="s">
        <v>127</v>
      </c>
      <c r="F2" s="22" t="s">
        <v>128</v>
      </c>
    </row>
    <row r="3" spans="1:10" x14ac:dyDescent="0.35">
      <c r="A3" t="s">
        <v>178</v>
      </c>
      <c r="B3" s="12">
        <v>51270.332409020004</v>
      </c>
      <c r="C3" s="12">
        <v>53151.057273757993</v>
      </c>
      <c r="D3" s="12">
        <v>55293.873337969999</v>
      </c>
      <c r="E3" s="12">
        <f t="shared" ref="E3:E8" si="0">+B3-D3</f>
        <v>-4023.5409289499948</v>
      </c>
      <c r="F3" s="111">
        <f>+E3/D3</f>
        <v>-7.2766487244565151E-2</v>
      </c>
    </row>
    <row r="4" spans="1:10" x14ac:dyDescent="0.35">
      <c r="A4" s="11" t="s">
        <v>179</v>
      </c>
      <c r="B4" s="12">
        <v>0</v>
      </c>
      <c r="C4" s="12">
        <v>0</v>
      </c>
      <c r="D4" s="12">
        <v>0</v>
      </c>
      <c r="E4" s="12">
        <f t="shared" si="0"/>
        <v>0</v>
      </c>
      <c r="F4" s="111"/>
    </row>
    <row r="5" spans="1:10" x14ac:dyDescent="0.35">
      <c r="A5" s="33" t="s">
        <v>180</v>
      </c>
      <c r="B5" s="34">
        <f>+SUM(B3:B4)</f>
        <v>51270.332409020004</v>
      </c>
      <c r="C5" s="34">
        <f>+SUM(C3:C4)</f>
        <v>53151.057273757993</v>
      </c>
      <c r="D5" s="34">
        <f>+SUM(D3:D4)</f>
        <v>55293.873337969999</v>
      </c>
      <c r="E5" s="34">
        <f t="shared" si="0"/>
        <v>-4023.5409289499948</v>
      </c>
      <c r="F5" s="35">
        <f>+E5/D5</f>
        <v>-7.2766487244565151E-2</v>
      </c>
    </row>
    <row r="6" spans="1:10" x14ac:dyDescent="0.35">
      <c r="A6" t="s">
        <v>181</v>
      </c>
      <c r="B6" s="12">
        <v>71431.721056079987</v>
      </c>
      <c r="C6" s="12">
        <v>72312.644213840016</v>
      </c>
      <c r="D6" s="12">
        <v>74658.037643460018</v>
      </c>
      <c r="E6" s="12">
        <f t="shared" si="0"/>
        <v>-3226.3165873800317</v>
      </c>
      <c r="F6" s="111">
        <f>+E6/D6</f>
        <v>-4.3214591344976967E-2</v>
      </c>
      <c r="I6" s="12"/>
      <c r="J6" s="12"/>
    </row>
    <row r="7" spans="1:10" x14ac:dyDescent="0.35">
      <c r="A7" s="11" t="s">
        <v>182</v>
      </c>
      <c r="B7" s="12">
        <v>-4654.84530206</v>
      </c>
      <c r="C7" s="12">
        <v>-4654.84530206</v>
      </c>
      <c r="D7" s="12">
        <v>-4997.4835267199996</v>
      </c>
      <c r="E7" s="12">
        <f t="shared" si="0"/>
        <v>342.63822465999965</v>
      </c>
      <c r="F7" s="111">
        <f>+E7/D7</f>
        <v>-6.8562151896653378E-2</v>
      </c>
    </row>
    <row r="8" spans="1:10" x14ac:dyDescent="0.35">
      <c r="A8" s="33" t="s">
        <v>183</v>
      </c>
      <c r="B8" s="34">
        <f>+SUM(B6:B7)</f>
        <v>66776.875754019988</v>
      </c>
      <c r="C8" s="34">
        <f>+SUM(C6:C7)</f>
        <v>67657.798911780017</v>
      </c>
      <c r="D8" s="34">
        <f>+SUM(D6:D7)</f>
        <v>69660.554116740022</v>
      </c>
      <c r="E8" s="34">
        <f t="shared" si="0"/>
        <v>-2883.6783627200348</v>
      </c>
      <c r="F8" s="35">
        <f>+E8/D8</f>
        <v>-4.139614447923351E-2</v>
      </c>
    </row>
    <row r="9" spans="1:10" ht="6" customHeight="1" x14ac:dyDescent="0.35">
      <c r="F9" s="111"/>
    </row>
    <row r="10" spans="1:10" x14ac:dyDescent="0.35">
      <c r="A10" s="26" t="s">
        <v>184</v>
      </c>
      <c r="B10" s="32">
        <f>+B5/B8</f>
        <v>0.76778573166375663</v>
      </c>
      <c r="C10" s="32">
        <f>+C5/C8</f>
        <v>0.78558655659286858</v>
      </c>
      <c r="D10" s="32">
        <f t="shared" ref="D10" si="1">+D5/D8</f>
        <v>0.79376160639357318</v>
      </c>
      <c r="E10" s="32"/>
      <c r="F10" s="146">
        <f>(B10-D10)*100</f>
        <v>-2.597587472981655</v>
      </c>
    </row>
    <row r="13" spans="1:10" x14ac:dyDescent="0.35">
      <c r="E13" s="151" t="s">
        <v>126</v>
      </c>
      <c r="F13" s="151"/>
    </row>
    <row r="14" spans="1:10" ht="15" thickBot="1" x14ac:dyDescent="0.4">
      <c r="A14" s="1" t="s">
        <v>185</v>
      </c>
      <c r="B14" s="22">
        <f>+B2</f>
        <v>45199</v>
      </c>
      <c r="C14" s="22">
        <f>+C2</f>
        <v>45107</v>
      </c>
      <c r="D14" s="22">
        <f>+D2</f>
        <v>44834</v>
      </c>
      <c r="E14" s="22" t="s">
        <v>127</v>
      </c>
      <c r="F14" s="22" t="s">
        <v>128</v>
      </c>
    </row>
    <row r="15" spans="1:10" x14ac:dyDescent="0.35">
      <c r="A15" t="s">
        <v>186</v>
      </c>
      <c r="B15" s="12">
        <v>5496.5084009374996</v>
      </c>
      <c r="C15" s="12">
        <v>5505.2036192400001</v>
      </c>
      <c r="D15" s="12">
        <v>14674.760773969167</v>
      </c>
      <c r="E15" s="12">
        <f t="shared" ref="E15:E17" si="2">+B15-D15</f>
        <v>-9178.252373031668</v>
      </c>
      <c r="F15" s="111">
        <f t="shared" ref="F15:F17" si="3">+E15/D15</f>
        <v>-0.62544476972411822</v>
      </c>
    </row>
    <row r="16" spans="1:10" x14ac:dyDescent="0.35">
      <c r="A16" t="s">
        <v>187</v>
      </c>
      <c r="B16" s="12">
        <v>194.00246662825</v>
      </c>
      <c r="C16" s="12">
        <v>194.17243225959999</v>
      </c>
      <c r="D16" s="12">
        <v>796.4512366124394</v>
      </c>
      <c r="E16" s="12">
        <f t="shared" si="2"/>
        <v>-602.44876998418943</v>
      </c>
      <c r="F16" s="111">
        <f t="shared" si="3"/>
        <v>-0.75641639097278046</v>
      </c>
    </row>
    <row r="17" spans="1:6" x14ac:dyDescent="0.35">
      <c r="A17" t="s">
        <v>188</v>
      </c>
      <c r="B17" s="12">
        <v>28351.458367522206</v>
      </c>
      <c r="C17" s="12">
        <v>26070.531103865615</v>
      </c>
      <c r="D17" s="12">
        <v>29098.808156824314</v>
      </c>
      <c r="E17" s="12">
        <f t="shared" si="2"/>
        <v>-747.34978930210855</v>
      </c>
      <c r="F17" s="111">
        <f t="shared" si="3"/>
        <v>-2.5683175244647898E-2</v>
      </c>
    </row>
    <row r="18" spans="1:6" x14ac:dyDescent="0.35">
      <c r="A18" s="33" t="s">
        <v>189</v>
      </c>
      <c r="B18" s="34">
        <f>+SUM(B15:B17)</f>
        <v>34041.969235087956</v>
      </c>
      <c r="C18" s="34">
        <f t="shared" ref="C18:D18" si="4">+SUM(C15:C17)</f>
        <v>31769.907155365214</v>
      </c>
      <c r="D18" s="34">
        <f t="shared" si="4"/>
        <v>44570.020167405921</v>
      </c>
      <c r="E18" s="34">
        <f t="shared" ref="E18" si="5">+B18-D18</f>
        <v>-10528.050932317965</v>
      </c>
      <c r="F18" s="35">
        <f>+E18/D18</f>
        <v>-0.23621373498989651</v>
      </c>
    </row>
    <row r="19" spans="1:6" ht="5.25" customHeight="1" x14ac:dyDescent="0.35">
      <c r="F19" s="111"/>
    </row>
    <row r="20" spans="1:6" x14ac:dyDescent="0.35">
      <c r="A20" s="1" t="s">
        <v>190</v>
      </c>
      <c r="B20" s="1"/>
      <c r="C20" s="1"/>
      <c r="D20" s="1"/>
      <c r="F20" s="111"/>
    </row>
    <row r="21" spans="1:6" x14ac:dyDescent="0.35">
      <c r="A21" t="s">
        <v>191</v>
      </c>
      <c r="B21" s="12">
        <v>944.42396552000002</v>
      </c>
      <c r="C21" s="12">
        <v>935.51863030999993</v>
      </c>
      <c r="D21" s="12">
        <v>10249.900142410001</v>
      </c>
      <c r="E21" s="12">
        <f t="shared" ref="E21:E23" si="6">+B21-D21</f>
        <v>-9305.4761768900007</v>
      </c>
      <c r="F21" s="111">
        <f t="shared" ref="F21:F22" si="7">+E21/D21</f>
        <v>-0.90786017888970938</v>
      </c>
    </row>
    <row r="22" spans="1:6" x14ac:dyDescent="0.35">
      <c r="A22" t="s">
        <v>192</v>
      </c>
      <c r="B22" s="12">
        <v>6192.4133870856167</v>
      </c>
      <c r="C22" s="12">
        <v>6593.8494848018254</v>
      </c>
      <c r="D22" s="12">
        <v>11393.700716020743</v>
      </c>
      <c r="E22" s="12">
        <f t="shared" si="6"/>
        <v>-5201.2873289351264</v>
      </c>
      <c r="F22" s="111">
        <f t="shared" si="7"/>
        <v>-0.45650552516458226</v>
      </c>
    </row>
    <row r="23" spans="1:6" x14ac:dyDescent="0.35">
      <c r="A23" s="33" t="s">
        <v>193</v>
      </c>
      <c r="B23" s="34">
        <f>+SUM(B21:B22)</f>
        <v>7136.8373526056166</v>
      </c>
      <c r="C23" s="34">
        <f t="shared" ref="C23:D23" si="8">+SUM(C21:C22)</f>
        <v>7529.3681151118253</v>
      </c>
      <c r="D23" s="34">
        <f t="shared" si="8"/>
        <v>21643.600858430742</v>
      </c>
      <c r="E23" s="34">
        <f t="shared" si="6"/>
        <v>-14506.763505825125</v>
      </c>
      <c r="F23" s="35">
        <f>+E23/D23</f>
        <v>-0.67025646983202269</v>
      </c>
    </row>
    <row r="24" spans="1:6" x14ac:dyDescent="0.35">
      <c r="F24" s="111"/>
    </row>
    <row r="25" spans="1:6" x14ac:dyDescent="0.35">
      <c r="A25" s="26" t="s">
        <v>194</v>
      </c>
      <c r="B25" s="30">
        <f>+B18-B23</f>
        <v>26905.131882482339</v>
      </c>
      <c r="C25" s="30">
        <f t="shared" ref="C25:D25" si="9">+C18-C23</f>
        <v>24240.539040253389</v>
      </c>
      <c r="D25" s="30">
        <f t="shared" si="9"/>
        <v>22926.419308975179</v>
      </c>
      <c r="E25" s="117">
        <f>+B25-D25</f>
        <v>3978.7125735071604</v>
      </c>
      <c r="F25" s="32">
        <f>+E25/D25</f>
        <v>0.17354269412448475</v>
      </c>
    </row>
    <row r="26" spans="1:6" x14ac:dyDescent="0.35">
      <c r="A26" s="14" t="s">
        <v>195</v>
      </c>
      <c r="B26" s="14">
        <v>0.28248480802151832</v>
      </c>
      <c r="C26" s="14">
        <v>0.24923734915374135</v>
      </c>
      <c r="D26" s="14">
        <v>0.20296804369127772</v>
      </c>
      <c r="E26" s="112"/>
      <c r="F26" s="14"/>
    </row>
    <row r="27" spans="1:6" x14ac:dyDescent="0.35">
      <c r="A27" s="15" t="s">
        <v>196</v>
      </c>
      <c r="B27" s="15"/>
      <c r="C27" s="15"/>
      <c r="D27" s="15"/>
    </row>
    <row r="28" spans="1:6" x14ac:dyDescent="0.35">
      <c r="A28" s="15"/>
      <c r="B28" s="15"/>
      <c r="C28" s="15"/>
      <c r="D28" s="12"/>
    </row>
    <row r="30" spans="1:6" ht="15" thickBot="1" x14ac:dyDescent="0.4">
      <c r="A30" s="26" t="s">
        <v>8</v>
      </c>
      <c r="B30" s="22">
        <f>+B14</f>
        <v>45199</v>
      </c>
      <c r="C30" s="22">
        <f t="shared" ref="C30:D30" si="10">+C14</f>
        <v>45107</v>
      </c>
      <c r="D30" s="22">
        <f t="shared" si="10"/>
        <v>44834</v>
      </c>
      <c r="E30" s="23" t="s">
        <v>207</v>
      </c>
      <c r="F30" s="23" t="s">
        <v>208</v>
      </c>
    </row>
    <row r="31" spans="1:6" x14ac:dyDescent="0.35">
      <c r="A31" t="s">
        <v>0</v>
      </c>
      <c r="B31" s="59">
        <v>2.59</v>
      </c>
      <c r="C31" s="59">
        <v>2.84</v>
      </c>
      <c r="D31" s="59">
        <v>2.72</v>
      </c>
      <c r="E31" s="72">
        <f>+(B31-C31)*100</f>
        <v>-25</v>
      </c>
      <c r="F31" s="72">
        <f>+(B31-D31)*100</f>
        <v>-13.000000000000034</v>
      </c>
    </row>
    <row r="32" spans="1:6" x14ac:dyDescent="0.35">
      <c r="A32" t="s">
        <v>1</v>
      </c>
      <c r="B32" s="59">
        <v>1.47</v>
      </c>
      <c r="C32" s="59">
        <v>1.43</v>
      </c>
      <c r="D32" s="59">
        <v>1.42</v>
      </c>
      <c r="E32" s="72">
        <f>+(B32-C32)*100</f>
        <v>4.0000000000000036</v>
      </c>
      <c r="F32" s="72">
        <f>+(B32-D32)*100</f>
        <v>5.0000000000000044</v>
      </c>
    </row>
  </sheetData>
  <mergeCells count="2">
    <mergeCell ref="E1:F1"/>
    <mergeCell ref="E13:F13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429496729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44"/>
  <sheetViews>
    <sheetView showGridLines="0" zoomScale="85" zoomScaleNormal="85" workbookViewId="0">
      <pane xSplit="1" ySplit="3" topLeftCell="B18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RowHeight="14.5" x14ac:dyDescent="0.35"/>
  <cols>
    <col min="1" max="1" width="54.7265625" customWidth="1"/>
    <col min="2" max="2" width="11.1796875" customWidth="1"/>
    <col min="3" max="6" width="11.26953125" customWidth="1"/>
  </cols>
  <sheetData>
    <row r="1" spans="1:6" ht="15.5" x14ac:dyDescent="0.35">
      <c r="A1" s="19" t="s">
        <v>21</v>
      </c>
      <c r="B1" s="19"/>
      <c r="C1" s="19"/>
      <c r="D1" s="19"/>
      <c r="E1" s="19"/>
      <c r="F1" s="19"/>
    </row>
    <row r="2" spans="1:6" x14ac:dyDescent="0.35">
      <c r="A2" s="44" t="s">
        <v>26</v>
      </c>
      <c r="B2" s="44"/>
    </row>
    <row r="3" spans="1:6" ht="15" thickBot="1" x14ac:dyDescent="0.4">
      <c r="A3" s="20" t="s">
        <v>27</v>
      </c>
      <c r="B3" s="22">
        <f>MAX(Relevantes!$2:$2)</f>
        <v>45199</v>
      </c>
      <c r="C3" s="22">
        <f>EOMONTH(B3,-3)</f>
        <v>45107</v>
      </c>
      <c r="D3" s="22">
        <f>EOMONTH(B3,-12)</f>
        <v>44834</v>
      </c>
      <c r="E3" s="23" t="s">
        <v>207</v>
      </c>
      <c r="F3" s="23" t="s">
        <v>208</v>
      </c>
    </row>
    <row r="4" spans="1:6" x14ac:dyDescent="0.35">
      <c r="A4" s="44" t="s">
        <v>28</v>
      </c>
      <c r="B4" s="41">
        <v>5648.4526547869918</v>
      </c>
      <c r="C4" s="41">
        <v>5666.7783386867059</v>
      </c>
      <c r="D4" s="41">
        <v>5837.8550299313601</v>
      </c>
      <c r="E4" s="41">
        <f>+B4-C4</f>
        <v>-18.325683899714022</v>
      </c>
      <c r="F4" s="41">
        <f>+B4-D4</f>
        <v>-189.40237514436831</v>
      </c>
    </row>
    <row r="5" spans="1:6" x14ac:dyDescent="0.35">
      <c r="A5" s="18" t="s">
        <v>29</v>
      </c>
      <c r="B5" s="12">
        <v>4488.9170049761597</v>
      </c>
      <c r="C5" s="12">
        <v>4501.1206002236104</v>
      </c>
      <c r="D5" s="12">
        <v>4669.4069828584015</v>
      </c>
      <c r="E5" s="12">
        <f t="shared" ref="E5:E13" si="0">+B5-C5</f>
        <v>-12.203595247450721</v>
      </c>
      <c r="F5" s="12">
        <f t="shared" ref="F5:F13" si="1">+B5-D5</f>
        <v>-180.48997788224187</v>
      </c>
    </row>
    <row r="6" spans="1:6" x14ac:dyDescent="0.35">
      <c r="A6" s="4" t="s">
        <v>30</v>
      </c>
      <c r="B6" s="12">
        <v>1873.1310763699998</v>
      </c>
      <c r="C6" s="12">
        <v>1873.1310763699998</v>
      </c>
      <c r="D6" s="12">
        <v>1873.1308923700001</v>
      </c>
      <c r="E6" s="12">
        <f t="shared" si="0"/>
        <v>0</v>
      </c>
      <c r="F6" s="12">
        <f t="shared" si="1"/>
        <v>1.8399999976281833E-4</v>
      </c>
    </row>
    <row r="7" spans="1:6" x14ac:dyDescent="0.35">
      <c r="A7" s="4" t="s">
        <v>31</v>
      </c>
      <c r="B7" s="12">
        <v>3858.7803117095941</v>
      </c>
      <c r="C7" s="12">
        <v>3859.4580830221944</v>
      </c>
      <c r="D7" s="12">
        <v>3945.8057989331837</v>
      </c>
      <c r="E7" s="12">
        <f t="shared" si="0"/>
        <v>-0.6777713126002709</v>
      </c>
      <c r="F7" s="12">
        <f t="shared" si="1"/>
        <v>-87.025487223589607</v>
      </c>
    </row>
    <row r="8" spans="1:6" x14ac:dyDescent="0.35">
      <c r="A8" s="4" t="s">
        <v>32</v>
      </c>
      <c r="B8" s="12">
        <v>137.31899492306948</v>
      </c>
      <c r="C8" s="12">
        <v>70.060268882332608</v>
      </c>
      <c r="D8" s="12">
        <v>124.90771281856799</v>
      </c>
      <c r="E8" s="12">
        <f t="shared" si="0"/>
        <v>67.258726040736875</v>
      </c>
      <c r="F8" s="12">
        <f t="shared" si="1"/>
        <v>12.411282104501495</v>
      </c>
    </row>
    <row r="9" spans="1:6" x14ac:dyDescent="0.35">
      <c r="A9" s="4" t="s">
        <v>33</v>
      </c>
      <c r="B9" s="12">
        <v>-1369.1858547931361</v>
      </c>
      <c r="C9" s="12">
        <v>-1408.8719147175232</v>
      </c>
      <c r="D9" s="12">
        <v>-1275.9541383379033</v>
      </c>
      <c r="E9" s="12">
        <f t="shared" si="0"/>
        <v>39.686059924387109</v>
      </c>
      <c r="F9" s="12">
        <f t="shared" si="1"/>
        <v>-93.231716455232799</v>
      </c>
    </row>
    <row r="10" spans="1:6" x14ac:dyDescent="0.35">
      <c r="A10" s="4" t="s">
        <v>34</v>
      </c>
      <c r="B10" s="12">
        <v>-11.127523233366901</v>
      </c>
      <c r="C10" s="12">
        <v>107.34308666660671</v>
      </c>
      <c r="D10" s="12">
        <v>1.5167170745532985</v>
      </c>
      <c r="E10" s="12">
        <f t="shared" si="0"/>
        <v>-118.47060989997361</v>
      </c>
      <c r="F10" s="12">
        <f t="shared" si="1"/>
        <v>-12.644240307920199</v>
      </c>
    </row>
    <row r="11" spans="1:6" x14ac:dyDescent="0.35">
      <c r="A11" s="18" t="s">
        <v>35</v>
      </c>
      <c r="B11" s="12">
        <v>547.36827200000005</v>
      </c>
      <c r="C11" s="12">
        <v>547.36827200000005</v>
      </c>
      <c r="D11" s="12">
        <v>547.38467800000001</v>
      </c>
      <c r="E11" s="12">
        <f t="shared" si="0"/>
        <v>0</v>
      </c>
      <c r="F11" s="12">
        <f t="shared" si="1"/>
        <v>-1.6405999999960841E-2</v>
      </c>
    </row>
    <row r="12" spans="1:6" x14ac:dyDescent="0.35">
      <c r="A12" s="18" t="s">
        <v>36</v>
      </c>
      <c r="B12" s="12">
        <v>612.1673778108327</v>
      </c>
      <c r="C12" s="12">
        <v>618.28946646309555</v>
      </c>
      <c r="D12" s="12">
        <v>621.06336907295804</v>
      </c>
      <c r="E12" s="12">
        <f t="shared" si="0"/>
        <v>-6.1220886522628462</v>
      </c>
      <c r="F12" s="12">
        <f t="shared" si="1"/>
        <v>-8.8959912621253352</v>
      </c>
    </row>
    <row r="13" spans="1:6" x14ac:dyDescent="0.35">
      <c r="A13" s="44" t="s">
        <v>37</v>
      </c>
      <c r="B13" s="41">
        <v>30983.701831271312</v>
      </c>
      <c r="C13" s="41">
        <v>31915.665788386767</v>
      </c>
      <c r="D13" s="41">
        <v>34240.231805771327</v>
      </c>
      <c r="E13" s="41">
        <f t="shared" si="0"/>
        <v>-931.96395711545483</v>
      </c>
      <c r="F13" s="41">
        <f t="shared" si="1"/>
        <v>-3256.5299745000157</v>
      </c>
    </row>
    <row r="14" spans="1:6" x14ac:dyDescent="0.35">
      <c r="A14" s="26" t="s">
        <v>38</v>
      </c>
      <c r="B14" s="51">
        <v>0.14487994460512055</v>
      </c>
      <c r="C14" s="51">
        <v>0.14103169992027692</v>
      </c>
      <c r="D14" s="51">
        <v>0.13637194424809224</v>
      </c>
      <c r="E14" s="71">
        <f>+(B14-C14)*100</f>
        <v>0.38482446848436269</v>
      </c>
      <c r="F14" s="71">
        <f>+(B14-D14)*100</f>
        <v>0.85080003570283114</v>
      </c>
    </row>
    <row r="15" spans="1:6" x14ac:dyDescent="0.35">
      <c r="A15" t="s">
        <v>35</v>
      </c>
      <c r="B15" s="77">
        <v>1.7666329058445521E-2</v>
      </c>
      <c r="C15" s="77">
        <v>1.715045757244307E-2</v>
      </c>
      <c r="D15" s="77">
        <v>1.5986593814698889E-2</v>
      </c>
      <c r="E15" s="140">
        <f>+(B15-C15)*100</f>
        <v>5.1587148600245117E-2</v>
      </c>
      <c r="F15" s="140">
        <f>+(B15-D15)*100</f>
        <v>0.16797352437466323</v>
      </c>
    </row>
    <row r="16" spans="1:6" x14ac:dyDescent="0.35">
      <c r="A16" t="s">
        <v>36</v>
      </c>
      <c r="B16" s="77">
        <v>1.9757722338813073E-2</v>
      </c>
      <c r="C16" s="77">
        <v>1.9372601234847936E-2</v>
      </c>
      <c r="D16" s="77">
        <v>1.8138410177710167E-2</v>
      </c>
      <c r="E16" s="140">
        <f>+(B16-C16)*100</f>
        <v>3.8512110396513727E-2</v>
      </c>
      <c r="F16" s="140">
        <f>+(B16-D16)*100</f>
        <v>0.16193121611029065</v>
      </c>
    </row>
    <row r="17" spans="1:8" ht="15" thickBot="1" x14ac:dyDescent="0.4">
      <c r="A17" s="26" t="s">
        <v>39</v>
      </c>
      <c r="B17" s="51">
        <v>0.18230399600237912</v>
      </c>
      <c r="C17" s="51">
        <v>0.17755475872756793</v>
      </c>
      <c r="D17" s="51">
        <v>0.17049694824050129</v>
      </c>
      <c r="E17" s="71">
        <f>+(B17-C17)*100</f>
        <v>0.47492372748111911</v>
      </c>
      <c r="F17" s="71">
        <f>+(B17-D17)*100</f>
        <v>1.1807047761877825</v>
      </c>
      <c r="G17" s="59"/>
    </row>
    <row r="18" spans="1:8" ht="18" customHeight="1" thickBot="1" x14ac:dyDescent="0.4">
      <c r="A18" s="84" t="s">
        <v>40</v>
      </c>
      <c r="B18" s="84"/>
      <c r="C18" s="84"/>
      <c r="D18" s="63"/>
      <c r="E18" s="138"/>
      <c r="F18" s="138"/>
      <c r="G18" s="62"/>
    </row>
    <row r="19" spans="1:8" ht="12.5" customHeight="1" x14ac:dyDescent="0.35">
      <c r="A19" s="153"/>
      <c r="B19" s="153"/>
      <c r="C19" s="153"/>
      <c r="D19" s="153"/>
      <c r="E19" s="135"/>
      <c r="F19" s="135"/>
      <c r="G19" s="113"/>
      <c r="H19" s="113"/>
    </row>
    <row r="20" spans="1:8" ht="8.15" customHeight="1" x14ac:dyDescent="0.35">
      <c r="G20" s="64"/>
    </row>
    <row r="21" spans="1:8" x14ac:dyDescent="0.35">
      <c r="A21" s="44" t="s">
        <v>41</v>
      </c>
      <c r="B21" s="44"/>
      <c r="G21" s="62"/>
    </row>
    <row r="22" spans="1:8" ht="15" thickBot="1" x14ac:dyDescent="0.4">
      <c r="A22" s="20" t="s">
        <v>27</v>
      </c>
      <c r="B22" s="22">
        <f>+B3</f>
        <v>45199</v>
      </c>
      <c r="C22" s="22">
        <f t="shared" ref="C22:D22" si="2">+C3</f>
        <v>45107</v>
      </c>
      <c r="D22" s="22">
        <f t="shared" si="2"/>
        <v>44834</v>
      </c>
      <c r="E22" s="23" t="s">
        <v>207</v>
      </c>
      <c r="F22" s="23" t="s">
        <v>208</v>
      </c>
      <c r="G22" s="59"/>
    </row>
    <row r="23" spans="1:8" x14ac:dyDescent="0.35">
      <c r="A23" s="44" t="s">
        <v>28</v>
      </c>
      <c r="B23" s="41">
        <v>5540.8692457260695</v>
      </c>
      <c r="C23" s="41">
        <v>5555.8894116728343</v>
      </c>
      <c r="D23" s="41">
        <v>5599.6317745340384</v>
      </c>
      <c r="E23" s="41">
        <f>+B23-C23</f>
        <v>-15.020165946764791</v>
      </c>
      <c r="F23" s="41">
        <f>+B23-D23</f>
        <v>-58.76252880796892</v>
      </c>
      <c r="G23" s="12"/>
    </row>
    <row r="24" spans="1:8" x14ac:dyDescent="0.35">
      <c r="A24" s="18" t="s">
        <v>29</v>
      </c>
      <c r="B24" s="12">
        <v>4379.5915000440818</v>
      </c>
      <c r="C24" s="12">
        <v>4389.0189265705339</v>
      </c>
      <c r="D24" s="12">
        <v>4431.1837524610801</v>
      </c>
      <c r="E24" s="12">
        <f t="shared" ref="E24:E32" si="3">+B24-C24</f>
        <v>-9.4274265264521091</v>
      </c>
      <c r="F24" s="12">
        <f t="shared" ref="F24:F32" si="4">+B24-D24</f>
        <v>-51.592252416998235</v>
      </c>
      <c r="G24" s="12"/>
    </row>
    <row r="25" spans="1:8" x14ac:dyDescent="0.35">
      <c r="A25" s="4" t="s">
        <v>30</v>
      </c>
      <c r="B25" s="12">
        <v>1873.1310763699998</v>
      </c>
      <c r="C25" s="12">
        <v>1873.1310763699998</v>
      </c>
      <c r="D25" s="12">
        <v>1873.1308923700001</v>
      </c>
      <c r="E25" s="12">
        <f t="shared" si="3"/>
        <v>0</v>
      </c>
      <c r="F25" s="12">
        <f t="shared" si="4"/>
        <v>1.8399999976281833E-4</v>
      </c>
    </row>
    <row r="26" spans="1:8" x14ac:dyDescent="0.35">
      <c r="A26" s="4" t="s">
        <v>31</v>
      </c>
      <c r="B26" s="12">
        <v>3858.7803117095941</v>
      </c>
      <c r="C26" s="12">
        <v>3859.4580830221944</v>
      </c>
      <c r="D26" s="12">
        <v>3945.8057989331837</v>
      </c>
      <c r="E26" s="12">
        <f t="shared" si="3"/>
        <v>-0.6777713126002709</v>
      </c>
      <c r="F26" s="12">
        <f t="shared" si="4"/>
        <v>-87.025487223589607</v>
      </c>
      <c r="G26" s="12"/>
    </row>
    <row r="27" spans="1:8" x14ac:dyDescent="0.35">
      <c r="A27" s="4" t="s">
        <v>32</v>
      </c>
      <c r="B27" s="12">
        <v>137.31899492306948</v>
      </c>
      <c r="C27" s="12">
        <v>70.060268882332608</v>
      </c>
      <c r="D27" s="12">
        <v>124.90771281856799</v>
      </c>
      <c r="E27" s="12">
        <f t="shared" si="3"/>
        <v>67.258726040736875</v>
      </c>
      <c r="F27" s="12">
        <f t="shared" si="4"/>
        <v>12.411282104501495</v>
      </c>
      <c r="G27" s="12"/>
    </row>
    <row r="28" spans="1:8" x14ac:dyDescent="0.35">
      <c r="A28" s="4" t="s">
        <v>33</v>
      </c>
      <c r="B28" s="12">
        <v>-1424.7823715395118</v>
      </c>
      <c r="C28" s="12">
        <v>-1464.9943198866979</v>
      </c>
      <c r="D28" s="12">
        <v>-1385.5236441039053</v>
      </c>
      <c r="E28" s="12">
        <f t="shared" si="3"/>
        <v>40.21194834718608</v>
      </c>
      <c r="F28" s="12">
        <f t="shared" si="4"/>
        <v>-39.258727435606488</v>
      </c>
      <c r="G28" s="12"/>
    </row>
    <row r="29" spans="1:8" x14ac:dyDescent="0.35">
      <c r="A29" s="4" t="s">
        <v>42</v>
      </c>
      <c r="B29" s="12">
        <v>-64.856511419069875</v>
      </c>
      <c r="C29" s="12">
        <v>51.363818182705018</v>
      </c>
      <c r="D29" s="12">
        <v>-127.137007556767</v>
      </c>
      <c r="E29" s="12">
        <f t="shared" si="3"/>
        <v>-116.22032960177489</v>
      </c>
      <c r="F29" s="12">
        <f t="shared" si="4"/>
        <v>62.280496137697128</v>
      </c>
    </row>
    <row r="30" spans="1:8" x14ac:dyDescent="0.35">
      <c r="A30" s="18" t="s">
        <v>35</v>
      </c>
      <c r="B30" s="12">
        <v>547.36827200000005</v>
      </c>
      <c r="C30" s="12">
        <v>547.36827200000005</v>
      </c>
      <c r="D30" s="12">
        <v>547.38465299999996</v>
      </c>
      <c r="E30" s="12">
        <f t="shared" si="3"/>
        <v>0</v>
      </c>
      <c r="F30" s="12">
        <f t="shared" si="4"/>
        <v>-1.6380999999910273E-2</v>
      </c>
      <c r="G30" s="12"/>
    </row>
    <row r="31" spans="1:8" x14ac:dyDescent="0.35">
      <c r="A31" s="18" t="s">
        <v>36</v>
      </c>
      <c r="B31" s="12">
        <v>613.90947368198772</v>
      </c>
      <c r="C31" s="12">
        <v>619.50221310230052</v>
      </c>
      <c r="D31" s="12">
        <v>621.06336907295804</v>
      </c>
      <c r="E31" s="12">
        <f t="shared" si="3"/>
        <v>-5.592739420312796</v>
      </c>
      <c r="F31" s="12">
        <f t="shared" si="4"/>
        <v>-7.1538953909703196</v>
      </c>
      <c r="G31" s="12"/>
    </row>
    <row r="32" spans="1:8" x14ac:dyDescent="0.35">
      <c r="A32" s="44" t="s">
        <v>37</v>
      </c>
      <c r="B32" s="41">
        <v>30914.066759865589</v>
      </c>
      <c r="C32" s="41">
        <v>31845.744058071163</v>
      </c>
      <c r="D32" s="41">
        <v>34098.373828746197</v>
      </c>
      <c r="E32" s="41">
        <f t="shared" si="3"/>
        <v>-931.67729820557361</v>
      </c>
      <c r="F32" s="41">
        <f t="shared" si="4"/>
        <v>-3184.3070688806074</v>
      </c>
    </row>
    <row r="33" spans="1:7" x14ac:dyDescent="0.35">
      <c r="A33" s="26" t="s">
        <v>38</v>
      </c>
      <c r="B33" s="51">
        <v>0.14166985968115714</v>
      </c>
      <c r="C33" s="51">
        <v>0.13782120834002484</v>
      </c>
      <c r="D33" s="51">
        <v>0.12995293484422496</v>
      </c>
      <c r="E33" s="71">
        <f>+(B33-C33)*100</f>
        <v>0.38486513411322976</v>
      </c>
      <c r="F33" s="71">
        <f>+(B33-D33)*100</f>
        <v>1.1716924836932181</v>
      </c>
      <c r="G33" s="62"/>
    </row>
    <row r="34" spans="1:7" x14ac:dyDescent="0.35">
      <c r="A34" t="s">
        <v>35</v>
      </c>
      <c r="B34" s="77">
        <v>1.7706123113851356E-2</v>
      </c>
      <c r="C34" s="77">
        <v>1.7188113771242595E-2</v>
      </c>
      <c r="D34" s="77">
        <v>1.6053101410323983E-2</v>
      </c>
      <c r="E34" s="140">
        <f>+(B34-C34)*100</f>
        <v>5.1800934260876064E-2</v>
      </c>
      <c r="F34" s="140">
        <f>+(B34-D34)*100</f>
        <v>0.16530217035273728</v>
      </c>
    </row>
    <row r="35" spans="1:7" x14ac:dyDescent="0.35">
      <c r="A35" t="s">
        <v>36</v>
      </c>
      <c r="B35" s="77">
        <v>1.9858580187806289E-2</v>
      </c>
      <c r="C35" s="77">
        <v>1.9453218363264791E-2</v>
      </c>
      <c r="D35" s="77">
        <v>1.8213870614245495E-2</v>
      </c>
      <c r="E35" s="140">
        <f>+(B35-C35)*100</f>
        <v>4.053618245414975E-2</v>
      </c>
      <c r="F35" s="140">
        <f>+(B35-D35)*100</f>
        <v>0.16447095735607936</v>
      </c>
    </row>
    <row r="36" spans="1:7" x14ac:dyDescent="0.35">
      <c r="A36" s="26" t="s">
        <v>39</v>
      </c>
      <c r="B36" s="91">
        <v>0.17923456298281479</v>
      </c>
      <c r="C36" s="91">
        <v>0.17446254047453225</v>
      </c>
      <c r="D36" s="91">
        <v>0.16421990686879445</v>
      </c>
      <c r="E36" s="71">
        <f>+(B36-C36)*100</f>
        <v>0.47720225082825418</v>
      </c>
      <c r="F36" s="71">
        <f>+(B36-D36)*100</f>
        <v>1.5014656114020335</v>
      </c>
      <c r="G36" s="59"/>
    </row>
    <row r="38" spans="1:7" x14ac:dyDescent="0.35">
      <c r="A38" s="152"/>
      <c r="B38" s="152"/>
      <c r="C38" s="152"/>
      <c r="D38" s="152"/>
      <c r="E38" s="134"/>
      <c r="F38" s="134"/>
    </row>
    <row r="39" spans="1:7" ht="15" thickBot="1" x14ac:dyDescent="0.4">
      <c r="B39" s="22">
        <f>+B22</f>
        <v>45199</v>
      </c>
      <c r="C39" s="22">
        <f>+C22</f>
        <v>45107</v>
      </c>
      <c r="D39" s="22">
        <f>+D22</f>
        <v>44834</v>
      </c>
      <c r="E39" s="88"/>
      <c r="F39" s="88"/>
    </row>
    <row r="40" spans="1:7" x14ac:dyDescent="0.35">
      <c r="B40" s="61" t="s">
        <v>43</v>
      </c>
      <c r="C40" s="61" t="s">
        <v>43</v>
      </c>
      <c r="D40" s="61" t="s">
        <v>43</v>
      </c>
      <c r="E40" s="61"/>
      <c r="F40" s="61"/>
    </row>
    <row r="41" spans="1:7" x14ac:dyDescent="0.35">
      <c r="A41" t="s">
        <v>44</v>
      </c>
      <c r="B41" s="102">
        <f>+B14</f>
        <v>0.14487994460512055</v>
      </c>
      <c r="C41" s="102">
        <f>+C14</f>
        <v>0.14103169992027692</v>
      </c>
      <c r="D41" s="102">
        <f>+D14</f>
        <v>0.13637194424809224</v>
      </c>
      <c r="E41" s="102"/>
      <c r="F41" s="102"/>
    </row>
    <row r="42" spans="1:7" x14ac:dyDescent="0.35">
      <c r="A42" t="s">
        <v>45</v>
      </c>
      <c r="B42" s="102">
        <f>+B17</f>
        <v>0.18230399600237912</v>
      </c>
      <c r="C42" s="102">
        <f>+C17</f>
        <v>0.17755475872756793</v>
      </c>
      <c r="D42" s="102">
        <f>+D17</f>
        <v>0.17049694824050129</v>
      </c>
      <c r="E42" s="102"/>
      <c r="F42" s="102"/>
    </row>
    <row r="43" spans="1:7" ht="15" thickBot="1" x14ac:dyDescent="0.4">
      <c r="A43" t="s">
        <v>46</v>
      </c>
      <c r="B43" s="141">
        <v>0.1275</v>
      </c>
      <c r="C43" s="141">
        <v>0.1275</v>
      </c>
      <c r="D43" s="141">
        <v>0.1265</v>
      </c>
      <c r="E43" s="141"/>
      <c r="F43" s="141"/>
    </row>
    <row r="44" spans="1:7" x14ac:dyDescent="0.35">
      <c r="A44" s="60" t="s">
        <v>47</v>
      </c>
      <c r="B44" s="71">
        <f>(+B42-B43)*100</f>
        <v>5.4803996002379121</v>
      </c>
      <c r="C44" s="71">
        <f>(+C42-C43)*100</f>
        <v>5.0054758727567927</v>
      </c>
      <c r="D44" s="71">
        <f>(+D42-D43)*100</f>
        <v>4.3996948240501297</v>
      </c>
      <c r="E44" s="139"/>
      <c r="F44" s="139"/>
    </row>
  </sheetData>
  <mergeCells count="2">
    <mergeCell ref="A38:D38"/>
    <mergeCell ref="A19:D19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7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4" sqref="B14"/>
    </sheetView>
  </sheetViews>
  <sheetFormatPr baseColWidth="10" defaultRowHeight="14.5" x14ac:dyDescent="0.35"/>
  <cols>
    <col min="1" max="1" width="56.26953125" customWidth="1"/>
    <col min="2" max="5" width="11.453125" customWidth="1"/>
    <col min="6" max="8" width="10.81640625" customWidth="1"/>
  </cols>
  <sheetData>
    <row r="1" spans="1:9" ht="15.5" x14ac:dyDescent="0.35">
      <c r="A1" s="19" t="s">
        <v>14</v>
      </c>
      <c r="B1" s="19"/>
      <c r="C1" s="19"/>
    </row>
    <row r="2" spans="1:9" x14ac:dyDescent="0.35">
      <c r="A2" s="20" t="s">
        <v>15</v>
      </c>
      <c r="B2" s="120">
        <v>45199</v>
      </c>
      <c r="C2" s="120">
        <v>45107</v>
      </c>
      <c r="D2" s="120">
        <v>44926</v>
      </c>
      <c r="E2" s="120">
        <v>44834</v>
      </c>
      <c r="F2" s="119" t="s">
        <v>207</v>
      </c>
      <c r="G2" s="119" t="s">
        <v>279</v>
      </c>
      <c r="H2" s="119" t="s">
        <v>208</v>
      </c>
    </row>
    <row r="3" spans="1:9" x14ac:dyDescent="0.35">
      <c r="A3" s="26" t="s">
        <v>16</v>
      </c>
      <c r="B3" s="26"/>
      <c r="C3" s="26"/>
      <c r="D3" s="27"/>
      <c r="E3" s="27"/>
      <c r="F3" s="27"/>
      <c r="G3" s="27"/>
      <c r="H3" s="27"/>
    </row>
    <row r="4" spans="1:9" x14ac:dyDescent="0.35">
      <c r="A4" t="s">
        <v>229</v>
      </c>
      <c r="B4" s="12">
        <v>95244.526847565503</v>
      </c>
      <c r="C4" s="12">
        <v>97258.854348322289</v>
      </c>
      <c r="D4" s="12">
        <v>98986.847330387784</v>
      </c>
      <c r="E4" s="12">
        <v>112955.80768294299</v>
      </c>
      <c r="F4" s="24">
        <f t="shared" ref="F4:F10" si="0">(B4-C4)/C4</f>
        <v>-2.0710993505462089E-2</v>
      </c>
      <c r="G4" s="24">
        <f>(B4-D4)/D4</f>
        <v>-3.7806239755586529E-2</v>
      </c>
      <c r="H4" s="24">
        <f>(B4-E4)/E4</f>
        <v>-0.15679831961444157</v>
      </c>
    </row>
    <row r="5" spans="1:9" ht="16.5" x14ac:dyDescent="0.35">
      <c r="A5" t="s">
        <v>230</v>
      </c>
      <c r="B5" s="12">
        <v>51270.332409020004</v>
      </c>
      <c r="C5" s="12">
        <v>53151.057273757993</v>
      </c>
      <c r="D5" s="12">
        <v>54890.957499209995</v>
      </c>
      <c r="E5" s="12">
        <v>55293.873337969999</v>
      </c>
      <c r="F5" s="24">
        <f t="shared" si="0"/>
        <v>-3.5384524056618349E-2</v>
      </c>
      <c r="G5" s="24">
        <f t="shared" ref="G5:G10" si="1">(B5-D5)/D5</f>
        <v>-6.5960319424963582E-2</v>
      </c>
      <c r="H5" s="24">
        <f t="shared" ref="H5:H10" si="2">(B5-E5)/E5</f>
        <v>-7.2766487244565151E-2</v>
      </c>
    </row>
    <row r="6" spans="1:9" ht="16.5" x14ac:dyDescent="0.35">
      <c r="A6" s="17" t="s">
        <v>231</v>
      </c>
      <c r="B6" s="12">
        <v>49533.309852880004</v>
      </c>
      <c r="C6" s="12">
        <v>51230.515094947994</v>
      </c>
      <c r="D6" s="12">
        <v>52953.194013769993</v>
      </c>
      <c r="E6" s="12">
        <v>53342.563149069996</v>
      </c>
      <c r="F6" s="24">
        <f t="shared" si="0"/>
        <v>-3.3128795190180645E-2</v>
      </c>
      <c r="G6" s="24">
        <f t="shared" si="1"/>
        <v>-6.4583151679210887E-2</v>
      </c>
      <c r="H6" s="24">
        <f t="shared" si="2"/>
        <v>-7.1411140959701053E-2</v>
      </c>
      <c r="I6" s="85"/>
    </row>
    <row r="7" spans="1:9" ht="16.5" x14ac:dyDescent="0.35">
      <c r="A7" s="21" t="s">
        <v>232</v>
      </c>
      <c r="B7" s="12">
        <v>87535.727354339993</v>
      </c>
      <c r="C7" s="12">
        <v>88662.072703380007</v>
      </c>
      <c r="D7" s="12">
        <v>90081.33858761999</v>
      </c>
      <c r="E7" s="12">
        <v>89779.860943200008</v>
      </c>
      <c r="F7" s="24">
        <f t="shared" si="0"/>
        <v>-1.2703801238757579E-2</v>
      </c>
      <c r="G7" s="24">
        <f t="shared" si="1"/>
        <v>-2.8259029818966785E-2</v>
      </c>
      <c r="H7" s="24">
        <f t="shared" si="2"/>
        <v>-2.4995957504097555E-2</v>
      </c>
    </row>
    <row r="8" spans="1:9" x14ac:dyDescent="0.35">
      <c r="A8" s="21" t="s">
        <v>17</v>
      </c>
      <c r="B8" s="12">
        <v>20758.634792830002</v>
      </c>
      <c r="C8" s="12">
        <v>21004.276104200006</v>
      </c>
      <c r="D8" s="12">
        <v>20248.559225549998</v>
      </c>
      <c r="E8" s="12">
        <v>20119.096998090001</v>
      </c>
      <c r="F8" s="24">
        <f t="shared" si="0"/>
        <v>-1.1694823956388831E-2</v>
      </c>
      <c r="G8" s="24">
        <f t="shared" si="1"/>
        <v>2.5190709205442214E-2</v>
      </c>
      <c r="H8" s="24">
        <f t="shared" si="2"/>
        <v>3.1787599354022471E-2</v>
      </c>
    </row>
    <row r="9" spans="1:9" x14ac:dyDescent="0.35">
      <c r="A9" t="s">
        <v>233</v>
      </c>
      <c r="B9" s="12">
        <v>6565.2641624722901</v>
      </c>
      <c r="C9" s="12">
        <v>6428.6882101075598</v>
      </c>
      <c r="D9" s="12">
        <v>6483.0447357416497</v>
      </c>
      <c r="E9" s="12">
        <v>6626.3529867568905</v>
      </c>
      <c r="F9" s="24">
        <f t="shared" si="0"/>
        <v>2.1244762212918888E-2</v>
      </c>
      <c r="G9" s="24">
        <f t="shared" si="1"/>
        <v>1.2682224183547091E-2</v>
      </c>
      <c r="H9" s="24">
        <f t="shared" si="2"/>
        <v>-9.2190718494305317E-3</v>
      </c>
    </row>
    <row r="10" spans="1:9" x14ac:dyDescent="0.35">
      <c r="A10" t="s">
        <v>234</v>
      </c>
      <c r="B10" s="12">
        <v>6539.1669354954902</v>
      </c>
      <c r="C10" s="12">
        <v>6480.0467595482905</v>
      </c>
      <c r="D10" s="12">
        <v>6476.9171868677904</v>
      </c>
      <c r="E10" s="12">
        <v>6496.0628402931907</v>
      </c>
      <c r="F10" s="24">
        <f t="shared" si="0"/>
        <v>9.1234181080694504E-3</v>
      </c>
      <c r="G10" s="24">
        <f t="shared" si="1"/>
        <v>9.6110150603613761E-3</v>
      </c>
      <c r="H10" s="24">
        <f t="shared" si="2"/>
        <v>6.6354184468378789E-3</v>
      </c>
    </row>
    <row r="11" spans="1:9" x14ac:dyDescent="0.35">
      <c r="A11" s="66" t="s">
        <v>228</v>
      </c>
      <c r="B11" s="66"/>
      <c r="C11" s="66"/>
      <c r="D11" s="12"/>
      <c r="E11" s="12"/>
      <c r="F11" s="24"/>
      <c r="G11" s="24"/>
      <c r="H11" s="24"/>
    </row>
    <row r="12" spans="1:9" x14ac:dyDescent="0.35">
      <c r="A12" s="26" t="s">
        <v>18</v>
      </c>
      <c r="B12" s="26"/>
      <c r="C12" s="26"/>
      <c r="D12" s="28"/>
      <c r="E12" s="28"/>
      <c r="F12" s="29"/>
      <c r="G12" s="29"/>
      <c r="H12" s="29"/>
    </row>
    <row r="13" spans="1:9" x14ac:dyDescent="0.35">
      <c r="A13" t="s">
        <v>258</v>
      </c>
      <c r="B13" s="12">
        <v>973.03935380999997</v>
      </c>
      <c r="C13" s="12">
        <v>615.66499999999996</v>
      </c>
      <c r="D13" s="12">
        <v>1073.3934977599997</v>
      </c>
      <c r="E13" s="12">
        <v>776.21249638999996</v>
      </c>
      <c r="F13" s="24"/>
      <c r="G13" s="24"/>
      <c r="H13" s="24">
        <f>(B13-E13)/E13</f>
        <v>0.25357342008200084</v>
      </c>
    </row>
    <row r="14" spans="1:9" x14ac:dyDescent="0.35">
      <c r="A14" t="s">
        <v>274</v>
      </c>
      <c r="B14" s="12">
        <v>1333.4491608888995</v>
      </c>
      <c r="C14" s="12">
        <v>830.66399999999999</v>
      </c>
      <c r="D14" s="12">
        <v>1605.75766484</v>
      </c>
      <c r="E14" s="12">
        <v>1258.6949628204054</v>
      </c>
      <c r="F14" s="24"/>
      <c r="G14" s="24"/>
      <c r="H14" s="24">
        <f t="shared" ref="H14:H16" si="3">(B14-E14)/E14</f>
        <v>5.9390241700014099E-2</v>
      </c>
    </row>
    <row r="15" spans="1:9" x14ac:dyDescent="0.35">
      <c r="A15" t="s">
        <v>275</v>
      </c>
      <c r="B15" s="12">
        <v>692.05725079889953</v>
      </c>
      <c r="C15" s="12">
        <v>402.08699999999999</v>
      </c>
      <c r="D15" s="12">
        <v>744.03618533999986</v>
      </c>
      <c r="E15" s="12">
        <v>605.00949182040517</v>
      </c>
      <c r="F15" s="24"/>
      <c r="G15" s="24"/>
      <c r="H15" s="24">
        <f t="shared" si="3"/>
        <v>0.14387833605151795</v>
      </c>
    </row>
    <row r="16" spans="1:9" x14ac:dyDescent="0.35">
      <c r="A16" t="s">
        <v>276</v>
      </c>
      <c r="B16" s="12">
        <v>285.34787751490006</v>
      </c>
      <c r="C16" s="12">
        <v>148.12700000000001</v>
      </c>
      <c r="D16" s="12">
        <v>277.56764821973547</v>
      </c>
      <c r="E16" s="12">
        <v>271.90839849256975</v>
      </c>
      <c r="F16" s="24"/>
      <c r="G16" s="24"/>
      <c r="H16" s="24">
        <f t="shared" si="3"/>
        <v>4.9426494719682475E-2</v>
      </c>
    </row>
    <row r="17" spans="1:10" ht="16.5" x14ac:dyDescent="0.35">
      <c r="A17" s="21" t="s">
        <v>235</v>
      </c>
      <c r="B17" s="125">
        <v>0.45902446218862841</v>
      </c>
      <c r="C17" s="125">
        <v>0.4791201691150509</v>
      </c>
      <c r="D17" s="125">
        <v>0.53664478667511972</v>
      </c>
      <c r="E17" s="125">
        <v>0.51933589178371109</v>
      </c>
      <c r="F17" s="65">
        <f>(B17-C17)*100</f>
        <v>-2.0095706926422485</v>
      </c>
      <c r="G17" s="65">
        <f>(B17-D17)*100</f>
        <v>-7.7620324486491308</v>
      </c>
      <c r="H17" s="65">
        <f>(B17-E17)*100</f>
        <v>-6.0311429595082675</v>
      </c>
    </row>
    <row r="18" spans="1:10" ht="16.5" x14ac:dyDescent="0.35">
      <c r="A18" s="21" t="s">
        <v>236</v>
      </c>
      <c r="B18" s="125">
        <v>5.6502789560953511E-2</v>
      </c>
      <c r="C18" s="125">
        <v>5.1612255672134365E-2</v>
      </c>
      <c r="D18" s="125">
        <v>4.3902869364431295E-2</v>
      </c>
      <c r="E18" s="125">
        <v>3.8845601480366282E-2</v>
      </c>
      <c r="F18" s="65">
        <f>(B18-C18)*100</f>
        <v>0.48905338888191457</v>
      </c>
      <c r="G18" s="65">
        <f>(B18-D18)*100</f>
        <v>1.2599920196522216</v>
      </c>
      <c r="H18" s="65">
        <f>(B18-E18)*100</f>
        <v>1.7657188080587229</v>
      </c>
    </row>
    <row r="19" spans="1:10" ht="34.9" customHeight="1" x14ac:dyDescent="0.35">
      <c r="A19" s="148" t="s">
        <v>283</v>
      </c>
      <c r="B19" s="148"/>
      <c r="C19" s="148"/>
      <c r="D19" s="148"/>
      <c r="E19" s="148"/>
      <c r="F19" s="148"/>
      <c r="G19" s="148"/>
      <c r="H19" s="148"/>
      <c r="I19" s="107"/>
      <c r="J19" s="107"/>
    </row>
    <row r="20" spans="1:10" x14ac:dyDescent="0.35">
      <c r="A20" s="26" t="s">
        <v>19</v>
      </c>
      <c r="B20" s="26"/>
      <c r="C20" s="26"/>
      <c r="D20" s="28"/>
      <c r="E20" s="28"/>
      <c r="F20" s="29"/>
      <c r="G20" s="29"/>
      <c r="H20" s="29"/>
    </row>
    <row r="21" spans="1:10" x14ac:dyDescent="0.35">
      <c r="A21" t="s">
        <v>237</v>
      </c>
      <c r="B21" s="12">
        <v>1737.02255614</v>
      </c>
      <c r="C21" s="12">
        <v>1920.5421788099995</v>
      </c>
      <c r="D21" s="12">
        <v>1937.7634854400003</v>
      </c>
      <c r="E21" s="12">
        <v>1951.3101889000002</v>
      </c>
      <c r="F21" s="24">
        <f t="shared" ref="F21:F23" si="4">(B21-C21)/C21</f>
        <v>-9.5556153202379243E-2</v>
      </c>
      <c r="G21" s="24">
        <f t="shared" ref="G21:G23" si="5">(B21-D21)/D21</f>
        <v>-0.10359413355052402</v>
      </c>
      <c r="H21" s="24">
        <f t="shared" ref="H21" si="6">(B21-E21)/E21</f>
        <v>-0.10981730838027305</v>
      </c>
    </row>
    <row r="22" spans="1:10" ht="16.5" x14ac:dyDescent="0.35">
      <c r="A22" t="s">
        <v>238</v>
      </c>
      <c r="B22" s="12">
        <v>1597.3278418099956</v>
      </c>
      <c r="C22" s="12">
        <v>1698.2551229599917</v>
      </c>
      <c r="D22" s="12">
        <v>1833.068554679985</v>
      </c>
      <c r="E22" s="12">
        <v>1886.7404980199885</v>
      </c>
      <c r="F22" s="24">
        <f t="shared" si="4"/>
        <v>-5.9429987747708871E-2</v>
      </c>
      <c r="G22" s="24">
        <f t="shared" si="5"/>
        <v>-0.1286044170405535</v>
      </c>
      <c r="H22" s="24">
        <f>(B22-E22)/E22</f>
        <v>-0.15339293162664008</v>
      </c>
    </row>
    <row r="23" spans="1:10" x14ac:dyDescent="0.35">
      <c r="A23" t="s">
        <v>239</v>
      </c>
      <c r="B23" s="12">
        <v>3334.3503979499956</v>
      </c>
      <c r="C23" s="12">
        <v>3618.7973017699915</v>
      </c>
      <c r="D23" s="12">
        <v>3770.8320401199853</v>
      </c>
      <c r="E23" s="12">
        <v>3838.0506869199889</v>
      </c>
      <c r="F23" s="24">
        <f t="shared" si="4"/>
        <v>-7.8602607468749336E-2</v>
      </c>
      <c r="G23" s="24">
        <f t="shared" si="5"/>
        <v>-0.11575207739989957</v>
      </c>
      <c r="H23" s="24">
        <f>(B23-E23)/E23</f>
        <v>-0.13123857136295655</v>
      </c>
    </row>
    <row r="24" spans="1:10" x14ac:dyDescent="0.35">
      <c r="A24" t="s">
        <v>240</v>
      </c>
      <c r="B24" s="109">
        <v>3.3879681962709594E-2</v>
      </c>
      <c r="C24" s="109">
        <v>3.6133658996059505E-2</v>
      </c>
      <c r="D24" s="109">
        <v>3.5302052901297801E-2</v>
      </c>
      <c r="E24" s="109">
        <v>3.5289808275378066E-2</v>
      </c>
      <c r="F24" s="65">
        <f t="shared" ref="F24:F29" si="7">(B24-C24)*100</f>
        <v>-0.22539770333499104</v>
      </c>
      <c r="G24" s="65">
        <f>(B24-D24)*100</f>
        <v>-0.14223709385882063</v>
      </c>
      <c r="H24" s="65">
        <f>(B24-E24)*100</f>
        <v>-0.14101263126684721</v>
      </c>
    </row>
    <row r="25" spans="1:10" ht="16.5" x14ac:dyDescent="0.35">
      <c r="A25" t="s">
        <v>241</v>
      </c>
      <c r="B25" s="108">
        <v>0.65760829712445878</v>
      </c>
      <c r="C25" s="108">
        <v>0.6581734502354053</v>
      </c>
      <c r="D25" s="108">
        <v>0.66537903453022973</v>
      </c>
      <c r="E25" s="108">
        <v>0.64717800009638471</v>
      </c>
      <c r="F25" s="65">
        <f t="shared" si="7"/>
        <v>-5.6515311094651466E-2</v>
      </c>
      <c r="G25" s="65">
        <f t="shared" ref="G25:G29" si="8">(B25-D25)*100</f>
        <v>-0.77707374057709444</v>
      </c>
      <c r="H25" s="65">
        <f t="shared" ref="H25:H29" si="9">(B25-E25)*100</f>
        <v>1.0430297028074076</v>
      </c>
    </row>
    <row r="26" spans="1:10" x14ac:dyDescent="0.35">
      <c r="A26" t="s">
        <v>242</v>
      </c>
      <c r="B26" s="109">
        <v>0.66579066889294558</v>
      </c>
      <c r="C26" s="109">
        <v>0.64881619803949664</v>
      </c>
      <c r="D26" s="109">
        <v>0.64080649738987361</v>
      </c>
      <c r="E26" s="109">
        <v>0.63420755860000821</v>
      </c>
      <c r="F26" s="65">
        <f t="shared" si="7"/>
        <v>1.6974470853448942</v>
      </c>
      <c r="G26" s="65">
        <f t="shared" si="8"/>
        <v>2.4984171503071972</v>
      </c>
      <c r="H26" s="65">
        <f t="shared" si="9"/>
        <v>3.1583110292937366</v>
      </c>
    </row>
    <row r="27" spans="1:10" x14ac:dyDescent="0.35">
      <c r="A27" t="s">
        <v>243</v>
      </c>
      <c r="B27" s="109">
        <v>0.66152808019401255</v>
      </c>
      <c r="C27" s="109">
        <v>0.65378221188924046</v>
      </c>
      <c r="D27" s="109">
        <v>0.65343388697089699</v>
      </c>
      <c r="E27" s="109">
        <v>0.64080188387368542</v>
      </c>
      <c r="F27" s="65">
        <f t="shared" si="7"/>
        <v>0.77458683047720855</v>
      </c>
      <c r="G27" s="65">
        <f t="shared" si="8"/>
        <v>0.80941932231155533</v>
      </c>
      <c r="H27" s="65">
        <f t="shared" si="9"/>
        <v>2.0726196320327128</v>
      </c>
    </row>
    <row r="28" spans="1:10" x14ac:dyDescent="0.35">
      <c r="A28" t="s">
        <v>244</v>
      </c>
      <c r="B28" s="121">
        <v>2.9668978470137365E-3</v>
      </c>
      <c r="C28" s="121">
        <v>2.9500071690467403E-3</v>
      </c>
      <c r="D28" s="121">
        <v>6.2168554589479815E-3</v>
      </c>
      <c r="E28" s="121">
        <v>2.8831342235953088E-3</v>
      </c>
      <c r="F28" s="65">
        <f t="shared" si="7"/>
        <v>1.6890677966996219E-3</v>
      </c>
      <c r="G28" s="65">
        <f t="shared" si="8"/>
        <v>-0.32499576119342449</v>
      </c>
      <c r="H28" s="65">
        <f t="shared" si="9"/>
        <v>8.3763623418427711E-3</v>
      </c>
    </row>
    <row r="29" spans="1:10" x14ac:dyDescent="0.35">
      <c r="A29" t="s">
        <v>257</v>
      </c>
      <c r="B29" s="121">
        <v>2.9668978470137365E-3</v>
      </c>
      <c r="C29" s="121">
        <v>2.9500071690467403E-3</v>
      </c>
      <c r="D29" s="121">
        <v>2.6389725261748284E-3</v>
      </c>
      <c r="E29" s="121">
        <v>2.8831342235953088E-3</v>
      </c>
      <c r="F29" s="65">
        <f t="shared" si="7"/>
        <v>1.6890677966996219E-3</v>
      </c>
      <c r="G29" s="65">
        <f t="shared" si="8"/>
        <v>3.279253208389081E-2</v>
      </c>
      <c r="H29" s="65">
        <f t="shared" si="9"/>
        <v>8.3763623418427711E-3</v>
      </c>
    </row>
    <row r="30" spans="1:10" ht="7.15" customHeight="1" x14ac:dyDescent="0.35">
      <c r="A30" s="15"/>
      <c r="B30" s="15"/>
      <c r="C30" s="15"/>
      <c r="D30" s="12"/>
      <c r="E30" s="12"/>
      <c r="F30" s="24"/>
      <c r="G30" s="24"/>
      <c r="H30" s="24"/>
    </row>
    <row r="31" spans="1:10" x14ac:dyDescent="0.35">
      <c r="A31" s="26" t="s">
        <v>20</v>
      </c>
      <c r="B31" s="26"/>
      <c r="C31" s="26"/>
      <c r="D31" s="28"/>
      <c r="E31" s="28"/>
      <c r="F31" s="29"/>
      <c r="G31" s="29"/>
      <c r="H31" s="29"/>
    </row>
    <row r="32" spans="1:10" x14ac:dyDescent="0.35">
      <c r="A32" t="s">
        <v>245</v>
      </c>
      <c r="B32" s="115">
        <v>0.76778573166375663</v>
      </c>
      <c r="C32" s="115">
        <v>0.78558655659286858</v>
      </c>
      <c r="D32" s="115">
        <v>0.78603412657185778</v>
      </c>
      <c r="E32" s="115">
        <v>0.79376160639357318</v>
      </c>
      <c r="F32" s="65">
        <f t="shared" ref="F32:F34" si="10">(B32-C32)*100</f>
        <v>-1.7800824929111947</v>
      </c>
      <c r="G32" s="65">
        <f t="shared" ref="G32:G34" si="11">(B32-D32)*100</f>
        <v>-1.8248394908101151</v>
      </c>
      <c r="H32" s="65">
        <f t="shared" ref="H32:H34" si="12">(B32-E32)*100</f>
        <v>-2.597587472981655</v>
      </c>
    </row>
    <row r="33" spans="1:10" x14ac:dyDescent="0.35">
      <c r="A33" t="s">
        <v>246</v>
      </c>
      <c r="B33" s="122">
        <v>2.59</v>
      </c>
      <c r="C33" s="122">
        <v>2.84</v>
      </c>
      <c r="D33" s="122">
        <v>2.8426</v>
      </c>
      <c r="E33" s="122">
        <v>2.72</v>
      </c>
      <c r="F33" s="65">
        <f t="shared" si="10"/>
        <v>-25</v>
      </c>
      <c r="G33" s="65">
        <f t="shared" si="11"/>
        <v>-25.260000000000016</v>
      </c>
      <c r="H33" s="65">
        <f t="shared" si="12"/>
        <v>-13.000000000000034</v>
      </c>
    </row>
    <row r="34" spans="1:10" x14ac:dyDescent="0.35">
      <c r="A34" t="s">
        <v>247</v>
      </c>
      <c r="B34" s="122">
        <v>1.47</v>
      </c>
      <c r="C34" s="122">
        <v>1.43</v>
      </c>
      <c r="D34" s="122">
        <v>1.4251</v>
      </c>
      <c r="E34" s="122">
        <v>1.42</v>
      </c>
      <c r="F34" s="65">
        <f t="shared" si="10"/>
        <v>4.0000000000000036</v>
      </c>
      <c r="G34" s="65">
        <f t="shared" si="11"/>
        <v>4.489999999999994</v>
      </c>
      <c r="H34" s="65">
        <f t="shared" si="12"/>
        <v>5.0000000000000044</v>
      </c>
    </row>
    <row r="35" spans="1:10" x14ac:dyDescent="0.35">
      <c r="A35" s="110"/>
      <c r="B35" s="110"/>
      <c r="C35" s="110"/>
      <c r="D35" s="12"/>
      <c r="E35" s="12"/>
      <c r="F35" s="24"/>
      <c r="G35" s="24"/>
      <c r="H35" s="24"/>
    </row>
    <row r="36" spans="1:10" x14ac:dyDescent="0.35">
      <c r="A36" s="26" t="s">
        <v>21</v>
      </c>
      <c r="B36" s="26"/>
      <c r="C36" s="26"/>
      <c r="D36" s="29"/>
      <c r="E36" s="29"/>
      <c r="F36" s="29"/>
      <c r="G36" s="29"/>
      <c r="H36" s="29"/>
    </row>
    <row r="37" spans="1:10" x14ac:dyDescent="0.35">
      <c r="A37" t="s">
        <v>248</v>
      </c>
      <c r="B37" s="109">
        <v>0.14487994460512058</v>
      </c>
      <c r="C37" s="109">
        <v>0.14103169992027689</v>
      </c>
      <c r="D37" s="109">
        <v>0.13649843651069588</v>
      </c>
      <c r="E37" s="109">
        <v>0.13637194424809221</v>
      </c>
      <c r="F37" s="65">
        <f t="shared" ref="F37:F40" si="13">(B37-C37)*100</f>
        <v>0.38482446848436824</v>
      </c>
      <c r="G37" s="65">
        <f t="shared" ref="G37:G40" si="14">(B37-D37)*100</f>
        <v>0.83815080944247</v>
      </c>
      <c r="H37" s="65">
        <f t="shared" ref="H37:H40" si="15">(B37-E37)*100</f>
        <v>0.85080003570283669</v>
      </c>
    </row>
    <row r="38" spans="1:10" x14ac:dyDescent="0.35">
      <c r="A38" t="s">
        <v>249</v>
      </c>
      <c r="B38" s="115">
        <v>0.14166985968115714</v>
      </c>
      <c r="C38" s="115">
        <v>0.13782120834002484</v>
      </c>
      <c r="D38" s="115">
        <v>0.12980427515130899</v>
      </c>
      <c r="E38" s="115">
        <v>0.12995293484422493</v>
      </c>
      <c r="F38" s="65">
        <f t="shared" si="13"/>
        <v>0.38486513411322976</v>
      </c>
      <c r="G38" s="65">
        <f t="shared" si="14"/>
        <v>1.186558452984815</v>
      </c>
      <c r="H38" s="65">
        <f t="shared" si="15"/>
        <v>1.1716924836932208</v>
      </c>
    </row>
    <row r="39" spans="1:10" x14ac:dyDescent="0.35">
      <c r="A39" t="s">
        <v>250</v>
      </c>
      <c r="B39" s="115">
        <v>0.18230399600237915</v>
      </c>
      <c r="C39" s="115">
        <v>0.17755475872756787</v>
      </c>
      <c r="D39" s="115">
        <v>0.17045804689151839</v>
      </c>
      <c r="E39" s="115">
        <v>0.17049694824050127</v>
      </c>
      <c r="F39" s="65">
        <f t="shared" si="13"/>
        <v>0.47492372748112743</v>
      </c>
      <c r="G39" s="65">
        <f t="shared" si="14"/>
        <v>1.1845949110860761</v>
      </c>
      <c r="H39" s="65">
        <f t="shared" si="15"/>
        <v>1.1807047761877882</v>
      </c>
    </row>
    <row r="40" spans="1:10" x14ac:dyDescent="0.35">
      <c r="A40" t="s">
        <v>251</v>
      </c>
      <c r="B40" s="115">
        <v>0.17923456298281476</v>
      </c>
      <c r="C40" s="115">
        <v>0.17446254047453222</v>
      </c>
      <c r="D40" s="115">
        <v>0.16392384595554346</v>
      </c>
      <c r="E40" s="115">
        <v>0.16421990686879442</v>
      </c>
      <c r="F40" s="65">
        <f t="shared" si="13"/>
        <v>0.47720225082825418</v>
      </c>
      <c r="G40" s="65">
        <f t="shared" si="14"/>
        <v>1.5310717027271297</v>
      </c>
      <c r="H40" s="65">
        <f t="shared" si="15"/>
        <v>1.5014656114020335</v>
      </c>
    </row>
    <row r="41" spans="1:10" x14ac:dyDescent="0.35">
      <c r="A41" t="s">
        <v>252</v>
      </c>
      <c r="B41" s="12">
        <v>30983.701831271312</v>
      </c>
      <c r="C41" s="12">
        <v>31915.665788386767</v>
      </c>
      <c r="D41" s="12">
        <v>34133.03473765614</v>
      </c>
      <c r="E41" s="12">
        <v>34240.231805771327</v>
      </c>
      <c r="F41" s="24">
        <f t="shared" ref="F41" si="16">(B41-C41)/C41</f>
        <v>-2.9200830817528202E-2</v>
      </c>
      <c r="G41" s="24">
        <f t="shared" ref="G41" si="17">(B41-D41)/D41</f>
        <v>-9.226641963102189E-2</v>
      </c>
      <c r="H41" s="24">
        <f>(B41-E41)/E41</f>
        <v>-9.5108292285308496E-2</v>
      </c>
    </row>
    <row r="42" spans="1:10" x14ac:dyDescent="0.35">
      <c r="A42" t="s">
        <v>253</v>
      </c>
      <c r="B42" s="115">
        <v>0.38128940077363888</v>
      </c>
      <c r="C42" s="115">
        <v>0.40909076554315155</v>
      </c>
      <c r="D42" s="115">
        <v>0.42175052248233696</v>
      </c>
      <c r="E42" s="115">
        <v>0.42856944983082462</v>
      </c>
      <c r="F42" s="65">
        <f t="shared" ref="F42" si="18">(B42-C42)*100</f>
        <v>-2.7801364769512671</v>
      </c>
      <c r="G42" s="65">
        <f t="shared" ref="G42" si="19">(B42-D42)*100</f>
        <v>-4.0461121708698089</v>
      </c>
      <c r="H42" s="65">
        <f t="shared" ref="H42" si="20">(B42-E42)*100</f>
        <v>-4.7280049057185742</v>
      </c>
    </row>
    <row r="43" spans="1:10" x14ac:dyDescent="0.35">
      <c r="A43" s="149"/>
      <c r="B43" s="149"/>
      <c r="C43" s="149"/>
      <c r="D43" s="149"/>
      <c r="E43" s="149"/>
      <c r="F43" s="149"/>
      <c r="G43" s="149"/>
      <c r="H43" s="149"/>
      <c r="I43" s="149"/>
      <c r="J43" s="149"/>
    </row>
    <row r="44" spans="1:10" x14ac:dyDescent="0.35">
      <c r="A44" s="26" t="s">
        <v>23</v>
      </c>
      <c r="B44" s="26"/>
      <c r="C44" s="26"/>
      <c r="D44" s="30"/>
      <c r="E44" s="30"/>
      <c r="F44" s="31"/>
      <c r="G44" s="31"/>
      <c r="H44" s="31"/>
    </row>
    <row r="45" spans="1:10" x14ac:dyDescent="0.35">
      <c r="A45" t="s">
        <v>225</v>
      </c>
      <c r="B45" s="12">
        <v>7607</v>
      </c>
      <c r="C45" s="12">
        <v>7692</v>
      </c>
      <c r="D45" s="12">
        <v>7853</v>
      </c>
      <c r="E45" s="12">
        <v>8063</v>
      </c>
      <c r="F45" s="24">
        <f t="shared" ref="F45:F47" si="21">(B45-C45)/C45</f>
        <v>-1.1050442017680706E-2</v>
      </c>
      <c r="G45" s="24">
        <f t="shared" ref="G45:G47" si="22">(B45-D45)/D45</f>
        <v>-3.1325608047879788E-2</v>
      </c>
      <c r="H45" s="24">
        <f t="shared" ref="H45:H47" si="23">(B45-E45)/E45</f>
        <v>-5.655463227086692E-2</v>
      </c>
    </row>
    <row r="46" spans="1:10" x14ac:dyDescent="0.35">
      <c r="A46" t="s">
        <v>24</v>
      </c>
      <c r="B46" s="12">
        <v>958</v>
      </c>
      <c r="C46" s="12">
        <v>958</v>
      </c>
      <c r="D46" s="12">
        <v>968</v>
      </c>
      <c r="E46" s="12">
        <v>966</v>
      </c>
      <c r="F46" s="24">
        <f t="shared" si="21"/>
        <v>0</v>
      </c>
      <c r="G46" s="24">
        <f t="shared" si="22"/>
        <v>-1.0330578512396695E-2</v>
      </c>
      <c r="H46" s="24">
        <f t="shared" si="23"/>
        <v>-8.2815734989648039E-3</v>
      </c>
    </row>
    <row r="47" spans="1:10" x14ac:dyDescent="0.35">
      <c r="A47" t="s">
        <v>25</v>
      </c>
      <c r="B47" s="12">
        <v>2407</v>
      </c>
      <c r="C47" s="12">
        <v>2450</v>
      </c>
      <c r="D47" s="12">
        <v>2469</v>
      </c>
      <c r="E47" s="12">
        <v>2482</v>
      </c>
      <c r="F47" s="24">
        <f t="shared" si="21"/>
        <v>-1.7551020408163264E-2</v>
      </c>
      <c r="G47" s="24">
        <f t="shared" si="22"/>
        <v>-2.5111381125961927E-2</v>
      </c>
      <c r="H47" s="24">
        <f t="shared" si="23"/>
        <v>-3.0217566478646252E-2</v>
      </c>
    </row>
  </sheetData>
  <mergeCells count="2">
    <mergeCell ref="A19:H19"/>
    <mergeCell ref="A43:J43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5"/>
  <sheetViews>
    <sheetView showGridLines="0" zoomScale="85" zoomScaleNormal="85" workbookViewId="0">
      <pane xSplit="1" ySplit="2" topLeftCell="B17" activePane="bottomRight" state="frozen"/>
      <selection pane="topRight" activeCell="B1" sqref="B1"/>
      <selection pane="bottomLeft" activeCell="A3" sqref="A3"/>
      <selection pane="bottomRight" activeCell="H36" sqref="H36"/>
    </sheetView>
  </sheetViews>
  <sheetFormatPr baseColWidth="10" defaultRowHeight="14.5" x14ac:dyDescent="0.35"/>
  <cols>
    <col min="1" max="1" width="57.7265625" customWidth="1"/>
    <col min="2" max="3" width="11.26953125" customWidth="1"/>
    <col min="4" max="4" width="11.26953125" bestFit="1" customWidth="1"/>
    <col min="5" max="5" width="11.26953125" customWidth="1"/>
    <col min="6" max="8" width="10.81640625" customWidth="1"/>
  </cols>
  <sheetData>
    <row r="1" spans="1:9" ht="15.5" x14ac:dyDescent="0.35">
      <c r="A1" s="19" t="s">
        <v>16</v>
      </c>
      <c r="B1" s="19"/>
      <c r="C1" s="19"/>
      <c r="D1" s="19"/>
      <c r="E1" s="19"/>
    </row>
    <row r="2" spans="1:9" ht="15" thickBot="1" x14ac:dyDescent="0.4">
      <c r="A2" s="20" t="s">
        <v>48</v>
      </c>
      <c r="B2" s="22">
        <f>MAX(Relevantes!$2:$2)</f>
        <v>45199</v>
      </c>
      <c r="C2" s="22">
        <f>EOMONTH(B2,-3)</f>
        <v>45107</v>
      </c>
      <c r="D2" s="22">
        <f>EOMONTH(B2,-MONTH(B2))</f>
        <v>44926</v>
      </c>
      <c r="E2" s="22">
        <f>EOMONTH(B2,-12)</f>
        <v>44834</v>
      </c>
      <c r="F2" s="23" t="s">
        <v>207</v>
      </c>
      <c r="G2" s="23" t="s">
        <v>279</v>
      </c>
      <c r="H2" s="23" t="s">
        <v>208</v>
      </c>
    </row>
    <row r="3" spans="1:9" x14ac:dyDescent="0.35">
      <c r="A3" t="s">
        <v>49</v>
      </c>
      <c r="B3" s="12">
        <v>6845.5267910000002</v>
      </c>
      <c r="C3" s="12">
        <v>6878.8642019999998</v>
      </c>
      <c r="D3" s="12">
        <v>4661.8257160000003</v>
      </c>
      <c r="E3" s="12">
        <v>16244.720081089999</v>
      </c>
      <c r="F3" s="24">
        <f t="shared" ref="F3:F16" si="0">(B3-C3)/C3</f>
        <v>-4.8463539940658829E-3</v>
      </c>
      <c r="G3" s="24">
        <f t="shared" ref="G3:G16" si="1">(B3-D3)/D3</f>
        <v>0.46842186045378104</v>
      </c>
      <c r="H3" s="24">
        <f t="shared" ref="H3:H16" si="2">(B3-E3)/E3</f>
        <v>-0.57859989234479481</v>
      </c>
      <c r="I3" s="12"/>
    </row>
    <row r="4" spans="1:9" x14ac:dyDescent="0.35">
      <c r="A4" s="86" t="s">
        <v>50</v>
      </c>
      <c r="B4" s="12">
        <v>204.47811400000001</v>
      </c>
      <c r="C4" s="12">
        <v>203.43148300000001</v>
      </c>
      <c r="D4" s="12">
        <v>207.70837699999998</v>
      </c>
      <c r="E4" s="12">
        <v>189.71064000000001</v>
      </c>
      <c r="F4" s="24">
        <f t="shared" si="0"/>
        <v>5.1448821223015447E-3</v>
      </c>
      <c r="G4" s="24">
        <f t="shared" si="1"/>
        <v>-1.5551914884973463E-2</v>
      </c>
      <c r="H4" s="24">
        <f t="shared" si="2"/>
        <v>7.7842096784871903E-2</v>
      </c>
      <c r="I4" s="12"/>
    </row>
    <row r="5" spans="1:9" x14ac:dyDescent="0.35">
      <c r="A5" s="86" t="s">
        <v>51</v>
      </c>
      <c r="B5" s="12">
        <v>1452.92984914</v>
      </c>
      <c r="C5" s="12">
        <v>1169.2562149400001</v>
      </c>
      <c r="D5" s="12">
        <v>1007.80615793</v>
      </c>
      <c r="E5" s="12">
        <v>1098.2784333299999</v>
      </c>
      <c r="F5" s="24">
        <f t="shared" si="0"/>
        <v>0.24261032832274193</v>
      </c>
      <c r="G5" s="24">
        <f t="shared" si="1"/>
        <v>0.44167589938552176</v>
      </c>
      <c r="H5" s="24">
        <f t="shared" si="2"/>
        <v>0.32291576074628969</v>
      </c>
      <c r="I5" s="12"/>
    </row>
    <row r="6" spans="1:9" x14ac:dyDescent="0.35">
      <c r="A6" s="86" t="s">
        <v>52</v>
      </c>
      <c r="B6" s="12">
        <v>51797.423943589994</v>
      </c>
      <c r="C6" s="12">
        <v>53750.460079773999</v>
      </c>
      <c r="D6" s="12">
        <v>55315.970999739999</v>
      </c>
      <c r="E6" s="12">
        <v>56722.358032749995</v>
      </c>
      <c r="F6" s="24">
        <f t="shared" si="0"/>
        <v>-3.6335245006003603E-2</v>
      </c>
      <c r="G6" s="24">
        <f t="shared" si="1"/>
        <v>-6.3608158594315234E-2</v>
      </c>
      <c r="H6" s="24">
        <f t="shared" si="2"/>
        <v>-8.6825270668692459E-2</v>
      </c>
      <c r="I6" s="12"/>
    </row>
    <row r="7" spans="1:9" x14ac:dyDescent="0.35">
      <c r="A7" s="126" t="s">
        <v>53</v>
      </c>
      <c r="B7" s="12">
        <v>880.20278919999998</v>
      </c>
      <c r="C7" s="12">
        <v>1065.470915546</v>
      </c>
      <c r="D7" s="12">
        <v>989.97725200000002</v>
      </c>
      <c r="E7" s="12">
        <v>1029.5883676399999</v>
      </c>
      <c r="F7" s="24">
        <f t="shared" si="0"/>
        <v>-0.17388379508328436</v>
      </c>
      <c r="G7" s="24">
        <f t="shared" si="1"/>
        <v>-0.1108858436678503</v>
      </c>
      <c r="H7" s="24">
        <f t="shared" si="2"/>
        <v>-0.14509252739754461</v>
      </c>
      <c r="I7" s="12"/>
    </row>
    <row r="8" spans="1:9" x14ac:dyDescent="0.35">
      <c r="A8" s="126" t="s">
        <v>54</v>
      </c>
      <c r="B8" s="12">
        <v>50917.221154389998</v>
      </c>
      <c r="C8" s="12">
        <v>52684.989164227998</v>
      </c>
      <c r="D8" s="12">
        <v>54325.993747740002</v>
      </c>
      <c r="E8" s="12">
        <v>55692.769665109998</v>
      </c>
      <c r="F8" s="24">
        <f t="shared" si="0"/>
        <v>-3.3553542249530874E-2</v>
      </c>
      <c r="G8" s="24">
        <f t="shared" si="1"/>
        <v>-6.2746621979497819E-2</v>
      </c>
      <c r="H8" s="24">
        <f t="shared" si="2"/>
        <v>-8.574808793737819E-2</v>
      </c>
      <c r="I8" s="12"/>
    </row>
    <row r="9" spans="1:9" x14ac:dyDescent="0.35">
      <c r="A9" s="86" t="s">
        <v>55</v>
      </c>
      <c r="B9" s="12">
        <v>24823.780309000002</v>
      </c>
      <c r="C9" s="12">
        <v>25353.908491999999</v>
      </c>
      <c r="D9" s="12">
        <v>26867.077245</v>
      </c>
      <c r="E9" s="12">
        <v>27294.914761</v>
      </c>
      <c r="F9" s="24">
        <f t="shared" si="0"/>
        <v>-2.0909130565303972E-2</v>
      </c>
      <c r="G9" s="24">
        <f t="shared" si="1"/>
        <v>-7.6052073598004005E-2</v>
      </c>
      <c r="H9" s="24">
        <f t="shared" si="2"/>
        <v>-9.0534609601743407E-2</v>
      </c>
      <c r="I9" s="12"/>
    </row>
    <row r="10" spans="1:9" x14ac:dyDescent="0.35">
      <c r="A10" s="86" t="s">
        <v>56</v>
      </c>
      <c r="B10" s="12">
        <v>1989.7954050000001</v>
      </c>
      <c r="C10" s="12">
        <v>1533.4983629999999</v>
      </c>
      <c r="D10" s="12">
        <v>1812.886741</v>
      </c>
      <c r="E10" s="12">
        <v>2201.0303879999997</v>
      </c>
      <c r="F10" s="24">
        <f t="shared" si="0"/>
        <v>0.29755300234383109</v>
      </c>
      <c r="G10" s="24">
        <f t="shared" si="1"/>
        <v>9.7583958224779166E-2</v>
      </c>
      <c r="H10" s="24">
        <f t="shared" si="2"/>
        <v>-9.5970952582777172E-2</v>
      </c>
      <c r="I10" s="12"/>
    </row>
    <row r="11" spans="1:9" x14ac:dyDescent="0.35">
      <c r="A11" s="86" t="s">
        <v>57</v>
      </c>
      <c r="B11" s="12">
        <v>930.35231294560003</v>
      </c>
      <c r="C11" s="12">
        <v>985.7070152483999</v>
      </c>
      <c r="D11" s="12">
        <v>982.5783123688999</v>
      </c>
      <c r="E11" s="12">
        <v>950.09645675429999</v>
      </c>
      <c r="F11" s="24">
        <f t="shared" si="0"/>
        <v>-5.6157358572567713E-2</v>
      </c>
      <c r="G11" s="24">
        <f t="shared" si="1"/>
        <v>-5.3151996910442798E-2</v>
      </c>
      <c r="H11" s="24">
        <f t="shared" si="2"/>
        <v>-2.0781199285964603E-2</v>
      </c>
      <c r="I11" s="12"/>
    </row>
    <row r="12" spans="1:9" x14ac:dyDescent="0.35">
      <c r="A12" s="86" t="s">
        <v>58</v>
      </c>
      <c r="B12" s="12">
        <v>1870.6344994200001</v>
      </c>
      <c r="C12" s="12">
        <v>1924.7766933900002</v>
      </c>
      <c r="D12" s="12">
        <v>1995.5404518</v>
      </c>
      <c r="E12" s="12">
        <v>2124.6064383499997</v>
      </c>
      <c r="F12" s="24">
        <f t="shared" si="0"/>
        <v>-2.8129078119001186E-2</v>
      </c>
      <c r="G12" s="24">
        <f t="shared" si="1"/>
        <v>-6.259254342217585E-2</v>
      </c>
      <c r="H12" s="24">
        <f t="shared" si="2"/>
        <v>-0.11953834571227127</v>
      </c>
      <c r="I12" s="12"/>
    </row>
    <row r="13" spans="1:9" x14ac:dyDescent="0.35">
      <c r="A13" s="86" t="s">
        <v>59</v>
      </c>
      <c r="B13" s="12">
        <v>84.779229000000001</v>
      </c>
      <c r="C13" s="12">
        <v>79.854901999999996</v>
      </c>
      <c r="D13" s="12">
        <v>74.750157000000002</v>
      </c>
      <c r="E13" s="12">
        <v>76.018668999999989</v>
      </c>
      <c r="F13" s="24">
        <f t="shared" si="0"/>
        <v>6.1665932543502534E-2</v>
      </c>
      <c r="G13" s="24">
        <f t="shared" si="1"/>
        <v>0.13416790549349614</v>
      </c>
      <c r="H13" s="24">
        <f t="shared" si="2"/>
        <v>0.11524221767155662</v>
      </c>
      <c r="I13" s="12"/>
    </row>
    <row r="14" spans="1:9" x14ac:dyDescent="0.35">
      <c r="A14" s="86" t="s">
        <v>60</v>
      </c>
      <c r="B14" s="12">
        <v>4698.8261928698994</v>
      </c>
      <c r="C14" s="12">
        <v>4704.8411737798997</v>
      </c>
      <c r="D14" s="12">
        <v>5076.2829469788994</v>
      </c>
      <c r="E14" s="12">
        <v>5110.7058301589004</v>
      </c>
      <c r="F14" s="24">
        <f t="shared" si="0"/>
        <v>-1.2784663047759866E-3</v>
      </c>
      <c r="G14" s="24">
        <f t="shared" si="1"/>
        <v>-7.4356917857315213E-2</v>
      </c>
      <c r="H14" s="24">
        <f t="shared" si="2"/>
        <v>-8.0591536859439039E-2</v>
      </c>
      <c r="I14" s="12"/>
    </row>
    <row r="15" spans="1:9" x14ac:dyDescent="0.35">
      <c r="A15" t="s">
        <v>277</v>
      </c>
      <c r="B15" s="12">
        <v>546.00020460000246</v>
      </c>
      <c r="C15" s="12">
        <v>674.25573218998488</v>
      </c>
      <c r="D15" s="12">
        <v>984.42022557008136</v>
      </c>
      <c r="E15" s="12">
        <v>943.36795251000001</v>
      </c>
      <c r="F15" s="24">
        <f t="shared" si="0"/>
        <v>-0.19021792691833414</v>
      </c>
      <c r="G15" s="24">
        <f t="shared" si="1"/>
        <v>-0.44535860761717716</v>
      </c>
      <c r="H15" s="24">
        <f t="shared" si="2"/>
        <v>-0.42122243696399608</v>
      </c>
      <c r="I15" s="12"/>
    </row>
    <row r="16" spans="1:9" x14ac:dyDescent="0.35">
      <c r="A16" s="26" t="s">
        <v>61</v>
      </c>
      <c r="B16" s="30">
        <f>+SUM(B9:B15)+SUM(B3:B6)</f>
        <v>95244.526850565497</v>
      </c>
      <c r="C16" s="30">
        <f t="shared" ref="C16:E16" si="3">+SUM(C9:C15)+SUM(C3:C6)</f>
        <v>97258.854351322283</v>
      </c>
      <c r="D16" s="30">
        <f t="shared" si="3"/>
        <v>98986.847330387871</v>
      </c>
      <c r="E16" s="30">
        <f t="shared" si="3"/>
        <v>112955.80768294321</v>
      </c>
      <c r="F16" s="32">
        <f t="shared" si="0"/>
        <v>-2.071099350482325E-2</v>
      </c>
      <c r="G16" s="32">
        <f t="shared" si="1"/>
        <v>-3.7806239725280383E-2</v>
      </c>
      <c r="H16" s="32">
        <f t="shared" si="2"/>
        <v>-0.15679831958788418</v>
      </c>
      <c r="I16" s="12"/>
    </row>
    <row r="17" spans="1:9" x14ac:dyDescent="0.35">
      <c r="B17" s="12"/>
      <c r="C17" s="12"/>
      <c r="D17" s="12"/>
      <c r="E17" s="12"/>
      <c r="F17" s="25"/>
      <c r="G17" s="25"/>
      <c r="H17" s="25"/>
    </row>
    <row r="18" spans="1:9" x14ac:dyDescent="0.35">
      <c r="A18" t="s">
        <v>62</v>
      </c>
      <c r="B18" s="12">
        <v>53.010419999999996</v>
      </c>
      <c r="C18" s="12">
        <v>50.317826000000004</v>
      </c>
      <c r="D18" s="12">
        <v>53.304549000000002</v>
      </c>
      <c r="E18" s="12">
        <v>49.741076999999997</v>
      </c>
      <c r="F18" s="24">
        <f t="shared" ref="F18:F28" si="4">(B18-C18)/C18</f>
        <v>5.3511731607800234E-2</v>
      </c>
      <c r="G18" s="24">
        <f t="shared" ref="G18:G28" si="5">(B18-D18)/D18</f>
        <v>-5.5178967933863432E-3</v>
      </c>
      <c r="H18" s="24">
        <f t="shared" ref="H18:H28" si="6">(B18-E18)/E18</f>
        <v>6.5727225809766837E-2</v>
      </c>
      <c r="I18" s="12"/>
    </row>
    <row r="19" spans="1:9" x14ac:dyDescent="0.35">
      <c r="A19" t="s">
        <v>63</v>
      </c>
      <c r="B19" s="12">
        <v>85132.096701639981</v>
      </c>
      <c r="C19" s="12">
        <v>87109.280886873996</v>
      </c>
      <c r="D19" s="12">
        <v>88932.760635550003</v>
      </c>
      <c r="E19" s="12">
        <v>102668.29655833</v>
      </c>
      <c r="F19" s="24">
        <f t="shared" si="4"/>
        <v>-2.2697744317298634E-2</v>
      </c>
      <c r="G19" s="24">
        <f t="shared" si="5"/>
        <v>-4.273637641234701E-2</v>
      </c>
      <c r="H19" s="24">
        <f t="shared" si="6"/>
        <v>-0.17080442984390018</v>
      </c>
      <c r="I19" s="12"/>
    </row>
    <row r="20" spans="1:9" x14ac:dyDescent="0.35">
      <c r="A20" s="4" t="s">
        <v>197</v>
      </c>
      <c r="B20" s="12">
        <v>944.42396600000006</v>
      </c>
      <c r="C20" s="12">
        <v>935.60943500000008</v>
      </c>
      <c r="D20" s="12">
        <v>5320.8887620000005</v>
      </c>
      <c r="E20" s="12">
        <v>10238.215895490001</v>
      </c>
      <c r="F20" s="24">
        <f t="shared" si="4"/>
        <v>9.4211651467580454E-3</v>
      </c>
      <c r="G20" s="24">
        <f t="shared" si="5"/>
        <v>-0.82250635030283681</v>
      </c>
      <c r="H20" s="24">
        <f t="shared" si="6"/>
        <v>-0.90775502532467345</v>
      </c>
      <c r="I20" s="12"/>
    </row>
    <row r="21" spans="1:9" x14ac:dyDescent="0.35">
      <c r="A21" s="4" t="s">
        <v>198</v>
      </c>
      <c r="B21" s="12">
        <v>4123.9530210000003</v>
      </c>
      <c r="C21" s="12">
        <v>4540.7193903779998</v>
      </c>
      <c r="D21" s="12">
        <v>3417.962638</v>
      </c>
      <c r="E21" s="12">
        <v>9069.2683570000008</v>
      </c>
      <c r="F21" s="24">
        <f t="shared" si="4"/>
        <v>-9.1784216012367401E-2</v>
      </c>
      <c r="G21" s="24">
        <f t="shared" si="5"/>
        <v>0.20655298426933838</v>
      </c>
      <c r="H21" s="24">
        <f t="shared" si="6"/>
        <v>-0.54528272197205641</v>
      </c>
      <c r="I21" s="12"/>
    </row>
    <row r="22" spans="1:9" x14ac:dyDescent="0.35">
      <c r="A22" s="4" t="s">
        <v>64</v>
      </c>
      <c r="B22" s="12">
        <v>73299.052593999993</v>
      </c>
      <c r="C22" s="12">
        <v>74095.229665913997</v>
      </c>
      <c r="D22" s="12">
        <v>74386.472047999996</v>
      </c>
      <c r="E22" s="12">
        <v>77842.581393</v>
      </c>
      <c r="F22" s="24">
        <f t="shared" si="4"/>
        <v>-1.0745321601726124E-2</v>
      </c>
      <c r="G22" s="24">
        <f t="shared" si="5"/>
        <v>-1.4618510920887794E-2</v>
      </c>
      <c r="H22" s="24">
        <f t="shared" si="6"/>
        <v>-5.8368167109738016E-2</v>
      </c>
      <c r="I22" s="12"/>
    </row>
    <row r="23" spans="1:9" x14ac:dyDescent="0.35">
      <c r="A23" s="4" t="s">
        <v>65</v>
      </c>
      <c r="B23" s="12">
        <v>4181.1916899999997</v>
      </c>
      <c r="C23" s="12">
        <v>3854.0163600000001</v>
      </c>
      <c r="D23" s="12">
        <v>3329.3536519999998</v>
      </c>
      <c r="E23" s="12">
        <v>2872.0316970000003</v>
      </c>
      <c r="F23" s="24">
        <f t="shared" si="4"/>
        <v>8.4892044931537236E-2</v>
      </c>
      <c r="G23" s="24">
        <f t="shared" si="5"/>
        <v>0.25585688005486773</v>
      </c>
      <c r="H23" s="24">
        <f t="shared" si="6"/>
        <v>0.4558306213568224</v>
      </c>
      <c r="I23" s="12"/>
    </row>
    <row r="24" spans="1:9" x14ac:dyDescent="0.35">
      <c r="A24" s="4" t="s">
        <v>66</v>
      </c>
      <c r="B24" s="12">
        <v>2583.47543064</v>
      </c>
      <c r="C24" s="12">
        <v>3683.7060355819999</v>
      </c>
      <c r="D24" s="12">
        <v>2478.0835355500003</v>
      </c>
      <c r="E24" s="12">
        <v>2646.1992158400003</v>
      </c>
      <c r="F24" s="24">
        <f t="shared" si="4"/>
        <v>-0.29867491985368783</v>
      </c>
      <c r="G24" s="24">
        <f t="shared" si="5"/>
        <v>4.252959739979404E-2</v>
      </c>
      <c r="H24" s="24">
        <f t="shared" si="6"/>
        <v>-2.3703349628606655E-2</v>
      </c>
      <c r="I24" s="12"/>
    </row>
    <row r="25" spans="1:9" x14ac:dyDescent="0.35">
      <c r="A25" t="s">
        <v>56</v>
      </c>
      <c r="B25" s="12">
        <v>1063.226105</v>
      </c>
      <c r="C25" s="12">
        <v>1114.7667919999999</v>
      </c>
      <c r="D25" s="12">
        <v>1081.823852</v>
      </c>
      <c r="E25" s="12">
        <v>996.40331400000002</v>
      </c>
      <c r="F25" s="24">
        <f t="shared" si="4"/>
        <v>-4.6234501574567842E-2</v>
      </c>
      <c r="G25" s="24">
        <f t="shared" si="5"/>
        <v>-1.7191104601380177E-2</v>
      </c>
      <c r="H25" s="24">
        <f t="shared" si="6"/>
        <v>6.7063999146835376E-2</v>
      </c>
      <c r="I25" s="12"/>
    </row>
    <row r="26" spans="1:9" x14ac:dyDescent="0.35">
      <c r="A26" t="s">
        <v>67</v>
      </c>
      <c r="B26" s="12">
        <v>1010.4679117100001</v>
      </c>
      <c r="C26" s="12">
        <v>1023.05006372</v>
      </c>
      <c r="D26" s="12">
        <v>1085.32941772</v>
      </c>
      <c r="E26" s="12">
        <v>1203.9363207199999</v>
      </c>
      <c r="F26" s="24">
        <f t="shared" si="4"/>
        <v>-1.2298666953060847E-2</v>
      </c>
      <c r="G26" s="24">
        <f t="shared" si="5"/>
        <v>-6.8975837923259176E-2</v>
      </c>
      <c r="H26" s="24">
        <f t="shared" si="6"/>
        <v>-0.16069654655347415</v>
      </c>
      <c r="I26" s="12"/>
    </row>
    <row r="27" spans="1:9" x14ac:dyDescent="0.35">
      <c r="A27" t="s">
        <v>68</v>
      </c>
      <c r="B27" s="12">
        <v>452.98438989999994</v>
      </c>
      <c r="C27" s="12">
        <v>459.62005396000001</v>
      </c>
      <c r="D27" s="12">
        <v>364.48008605000001</v>
      </c>
      <c r="E27" s="12">
        <v>436.10883036999996</v>
      </c>
      <c r="F27" s="24">
        <f t="shared" si="4"/>
        <v>-1.4437281408477356E-2</v>
      </c>
      <c r="G27" s="24">
        <f t="shared" si="5"/>
        <v>0.24282342777393537</v>
      </c>
      <c r="H27" s="24">
        <f t="shared" si="6"/>
        <v>3.8695752882789709E-2</v>
      </c>
      <c r="I27" s="12"/>
    </row>
    <row r="28" spans="1:9" x14ac:dyDescent="0.35">
      <c r="A28" t="s">
        <v>69</v>
      </c>
      <c r="B28" s="12">
        <v>993.57438382000009</v>
      </c>
      <c r="C28" s="12">
        <v>1021.7719662200001</v>
      </c>
      <c r="D28" s="12">
        <v>992.2316032</v>
      </c>
      <c r="E28" s="12">
        <v>1105.2587422300001</v>
      </c>
      <c r="F28" s="24">
        <f t="shared" si="4"/>
        <v>-2.7596746957460273E-2</v>
      </c>
      <c r="G28" s="24">
        <f t="shared" si="5"/>
        <v>1.353293541215135E-3</v>
      </c>
      <c r="H28" s="24">
        <f t="shared" si="6"/>
        <v>-0.1010481565471833</v>
      </c>
      <c r="I28" s="12"/>
    </row>
    <row r="29" spans="1:9" x14ac:dyDescent="0.35">
      <c r="A29" s="33" t="s">
        <v>70</v>
      </c>
      <c r="B29" s="34">
        <f>+SUM(B18:B19)+SUM(B25:B28)</f>
        <v>88705.35991206998</v>
      </c>
      <c r="C29" s="34">
        <f t="shared" ref="C29:E29" si="7">+SUM(C18:C19)+SUM(C25:C28)</f>
        <v>90778.807588773998</v>
      </c>
      <c r="D29" s="34">
        <f t="shared" si="7"/>
        <v>92509.930143520003</v>
      </c>
      <c r="E29" s="34">
        <f t="shared" si="7"/>
        <v>106459.74484264999</v>
      </c>
      <c r="F29" s="35">
        <f t="shared" ref="F29" si="8">(B29-C29)/C29</f>
        <v>-2.2840657767798516E-2</v>
      </c>
      <c r="G29" s="35">
        <f t="shared" ref="G29" si="9">(B29-D29)/D29</f>
        <v>-4.1126073985220925E-2</v>
      </c>
      <c r="H29" s="35">
        <f t="shared" ref="H29" si="10">(B29-E29)/E29</f>
        <v>-0.16677087622952139</v>
      </c>
      <c r="I29" s="12"/>
    </row>
    <row r="30" spans="1:9" x14ac:dyDescent="0.35">
      <c r="A30" t="s">
        <v>199</v>
      </c>
      <c r="B30" s="12">
        <v>6565.2641624722901</v>
      </c>
      <c r="C30" s="12">
        <v>6428.6882101075598</v>
      </c>
      <c r="D30" s="12">
        <v>6483.0447357416497</v>
      </c>
      <c r="E30" s="12">
        <v>6626.3529867568905</v>
      </c>
      <c r="F30" s="24">
        <f t="shared" ref="F30:F33" si="11">(B30-C30)/C30</f>
        <v>2.1244762212918888E-2</v>
      </c>
      <c r="G30" s="24">
        <f t="shared" ref="G30:G33" si="12">(B30-D30)/D30</f>
        <v>1.2682224183547091E-2</v>
      </c>
      <c r="H30" s="24">
        <f t="shared" ref="H30:H33" si="13">(B30-E30)/E30</f>
        <v>-9.2190718494305317E-3</v>
      </c>
      <c r="I30" s="12"/>
    </row>
    <row r="31" spans="1:9" x14ac:dyDescent="0.35">
      <c r="A31" t="s">
        <v>71</v>
      </c>
      <c r="B31" s="12">
        <v>-28.584372866794002</v>
      </c>
      <c r="C31" s="12">
        <v>48.748841400139</v>
      </c>
      <c r="D31" s="12">
        <v>-6.5726267138569998</v>
      </c>
      <c r="E31" s="12">
        <v>-130.73314590369401</v>
      </c>
      <c r="F31" s="24">
        <f t="shared" si="11"/>
        <v>-1.5863600456094633</v>
      </c>
      <c r="G31" s="24">
        <f t="shared" si="12"/>
        <v>3.3490029346303611</v>
      </c>
      <c r="H31" s="24">
        <f t="shared" si="13"/>
        <v>-0.78135328520396052</v>
      </c>
      <c r="I31" s="12"/>
    </row>
    <row r="32" spans="1:9" x14ac:dyDescent="0.35">
      <c r="A32" t="s">
        <v>200</v>
      </c>
      <c r="B32" s="12">
        <v>2.4871458900000003</v>
      </c>
      <c r="C32" s="12">
        <v>2.6097080406000002</v>
      </c>
      <c r="D32" s="12">
        <v>0.44507784000000006</v>
      </c>
      <c r="E32" s="12">
        <v>0.44299943999999997</v>
      </c>
      <c r="F32" s="24">
        <f t="shared" si="11"/>
        <v>-4.6963931862593143E-2</v>
      </c>
      <c r="G32" s="24">
        <f t="shared" si="12"/>
        <v>4.5881144071338174</v>
      </c>
      <c r="H32" s="24">
        <f t="shared" si="13"/>
        <v>4.6143319052502649</v>
      </c>
      <c r="I32" s="12"/>
    </row>
    <row r="33" spans="1:9" ht="15" thickBot="1" x14ac:dyDescent="0.4">
      <c r="A33" s="36" t="s">
        <v>72</v>
      </c>
      <c r="B33" s="37">
        <f>+SUM(B30:B32)</f>
        <v>6539.1669354954956</v>
      </c>
      <c r="C33" s="37">
        <f t="shared" ref="C33:E33" si="14">+SUM(C30:C32)</f>
        <v>6480.0467595482987</v>
      </c>
      <c r="D33" s="37">
        <f t="shared" si="14"/>
        <v>6476.9171868677922</v>
      </c>
      <c r="E33" s="37">
        <f t="shared" si="14"/>
        <v>6496.0628402931961</v>
      </c>
      <c r="F33" s="38">
        <f t="shared" si="11"/>
        <v>9.1234181080690185E-3</v>
      </c>
      <c r="G33" s="38">
        <f t="shared" si="12"/>
        <v>9.6110150603619347E-3</v>
      </c>
      <c r="H33" s="38">
        <f t="shared" si="13"/>
        <v>6.6354184468378737E-3</v>
      </c>
      <c r="I33" s="12"/>
    </row>
    <row r="34" spans="1:9" x14ac:dyDescent="0.35">
      <c r="A34" s="26" t="s">
        <v>73</v>
      </c>
      <c r="B34" s="30">
        <f>+B29+B33</f>
        <v>95244.526847565474</v>
      </c>
      <c r="C34" s="30">
        <f t="shared" ref="C34:E34" si="15">+C29+C33</f>
        <v>97258.854348322289</v>
      </c>
      <c r="D34" s="30">
        <f t="shared" si="15"/>
        <v>98986.847330387798</v>
      </c>
      <c r="E34" s="30">
        <f t="shared" si="15"/>
        <v>112955.80768294318</v>
      </c>
      <c r="F34" s="32">
        <f t="shared" ref="F34" si="16">(B34-C34)/C34</f>
        <v>-2.0710993505462391E-2</v>
      </c>
      <c r="G34" s="32">
        <f t="shared" ref="G34" si="17">(B34-D34)/D34</f>
        <v>-3.7806239755586959E-2</v>
      </c>
      <c r="H34" s="32">
        <f t="shared" ref="H34" si="18">(B34-E34)/E34</f>
        <v>-0.15679831961444324</v>
      </c>
      <c r="I34" s="12"/>
    </row>
    <row r="35" spans="1:9" x14ac:dyDescent="0.35">
      <c r="A35" s="1"/>
      <c r="B35" s="118"/>
      <c r="C35" s="118"/>
      <c r="D35" s="118"/>
      <c r="E35" s="118"/>
      <c r="F35" s="39"/>
      <c r="G35" s="39"/>
      <c r="H35" s="39"/>
    </row>
  </sheetData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8"/>
  <sheetViews>
    <sheetView showGridLines="0" zoomScale="85" zoomScaleNormal="85"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I4" sqref="I4"/>
    </sheetView>
  </sheetViews>
  <sheetFormatPr baseColWidth="10" defaultColWidth="9.7265625" defaultRowHeight="14.5" x14ac:dyDescent="0.35"/>
  <cols>
    <col min="1" max="1" width="44.7265625" customWidth="1"/>
    <col min="2" max="2" width="11.1796875" customWidth="1"/>
    <col min="3" max="3" width="11.26953125" customWidth="1"/>
    <col min="4" max="4" width="11.26953125" bestFit="1" customWidth="1"/>
    <col min="5" max="5" width="11.26953125" customWidth="1"/>
    <col min="6" max="8" width="10.81640625" customWidth="1"/>
    <col min="11" max="16" width="11.26953125" bestFit="1" customWidth="1"/>
  </cols>
  <sheetData>
    <row r="1" spans="1:9" ht="15.5" x14ac:dyDescent="0.35">
      <c r="A1" s="19" t="s">
        <v>74</v>
      </c>
      <c r="B1" s="19"/>
      <c r="C1" s="19"/>
    </row>
    <row r="2" spans="1:9" ht="15" thickBot="1" x14ac:dyDescent="0.4">
      <c r="A2" s="20" t="s">
        <v>75</v>
      </c>
      <c r="B2" s="22">
        <f>MAX(Relevantes!$2:$2)</f>
        <v>45199</v>
      </c>
      <c r="C2" s="22">
        <f>EOMONTH(B2,-3)</f>
        <v>45107</v>
      </c>
      <c r="D2" s="22">
        <f>EOMONTH(B2,-MONTH(B2))</f>
        <v>44926</v>
      </c>
      <c r="E2" s="22">
        <f>EOMONTH(B2,-12)</f>
        <v>44834</v>
      </c>
      <c r="F2" s="119" t="s">
        <v>207</v>
      </c>
      <c r="G2" s="119" t="s">
        <v>279</v>
      </c>
      <c r="H2" s="119" t="s">
        <v>208</v>
      </c>
    </row>
    <row r="3" spans="1:9" x14ac:dyDescent="0.35">
      <c r="A3" s="26" t="s">
        <v>263</v>
      </c>
      <c r="B3" s="30">
        <v>77652.20983349999</v>
      </c>
      <c r="C3" s="30">
        <v>78187.917459849996</v>
      </c>
      <c r="D3" s="30">
        <v>77929.892747409991</v>
      </c>
      <c r="E3" s="30">
        <v>80986.818150049992</v>
      </c>
      <c r="F3" s="32">
        <f t="shared" ref="F3:F27" si="0">(+B3-C3)/C3</f>
        <v>-6.8515397743531808E-3</v>
      </c>
      <c r="G3" s="32">
        <f>(+B3-D3)/D3</f>
        <v>-3.5632400369142014E-3</v>
      </c>
      <c r="H3" s="32">
        <f>(+B3-E3)/E3</f>
        <v>-4.1174704633681718E-2</v>
      </c>
      <c r="I3" s="12"/>
    </row>
    <row r="4" spans="1:9" x14ac:dyDescent="0.35">
      <c r="A4" s="40" t="s">
        <v>209</v>
      </c>
      <c r="B4" s="41">
        <v>68758.650287059994</v>
      </c>
      <c r="C4" s="41">
        <v>69593.854696409995</v>
      </c>
      <c r="D4" s="41">
        <v>69832.779362069996</v>
      </c>
      <c r="E4" s="41">
        <v>73016.311540049996</v>
      </c>
      <c r="F4" s="42">
        <f t="shared" si="0"/>
        <v>-1.2001122986985299E-2</v>
      </c>
      <c r="G4" s="42">
        <f t="shared" ref="G4:G15" si="1">(+B4-D4)/D4</f>
        <v>-1.5381445287188725E-2</v>
      </c>
      <c r="H4" s="42">
        <f t="shared" ref="H4:H15" si="2">(+B4-E4)/E4</f>
        <v>-5.8311097386159284E-2</v>
      </c>
      <c r="I4" s="12"/>
    </row>
    <row r="5" spans="1:9" x14ac:dyDescent="0.35">
      <c r="A5" s="6" t="s">
        <v>76</v>
      </c>
      <c r="B5" s="13">
        <v>5646.1232105600002</v>
      </c>
      <c r="C5" s="13">
        <v>5572.3944857300003</v>
      </c>
      <c r="D5" s="13">
        <v>6889.4704256699997</v>
      </c>
      <c r="E5" s="13">
        <v>6693.2751151100001</v>
      </c>
      <c r="F5" s="39">
        <f t="shared" si="0"/>
        <v>1.3231067006976488E-2</v>
      </c>
      <c r="G5" s="39">
        <f t="shared" si="1"/>
        <v>-0.18047065134024207</v>
      </c>
      <c r="H5" s="39">
        <f t="shared" si="2"/>
        <v>-0.15644835847043925</v>
      </c>
      <c r="I5" s="12"/>
    </row>
    <row r="6" spans="1:9" x14ac:dyDescent="0.35">
      <c r="A6" s="6" t="s">
        <v>77</v>
      </c>
      <c r="B6" s="13">
        <v>63112.527076499995</v>
      </c>
      <c r="C6" s="13">
        <v>64021.460210679994</v>
      </c>
      <c r="D6" s="13">
        <v>62943.308936399997</v>
      </c>
      <c r="E6" s="13">
        <v>66323.036424940001</v>
      </c>
      <c r="F6" s="39">
        <f t="shared" si="0"/>
        <v>-1.4197319636086208E-2</v>
      </c>
      <c r="G6" s="39">
        <f t="shared" si="1"/>
        <v>2.6884214217428827E-3</v>
      </c>
      <c r="H6" s="39">
        <f t="shared" si="2"/>
        <v>-4.8407152650096874E-2</v>
      </c>
      <c r="I6" s="12"/>
    </row>
    <row r="7" spans="1:9" x14ac:dyDescent="0.35">
      <c r="A7" s="4" t="s">
        <v>78</v>
      </c>
      <c r="B7" s="12">
        <v>52432.072103549996</v>
      </c>
      <c r="C7" s="12">
        <v>54140.801704589998</v>
      </c>
      <c r="D7" s="12">
        <v>57048.735000000001</v>
      </c>
      <c r="E7" s="12">
        <v>57651.787628730002</v>
      </c>
      <c r="F7" s="25">
        <f t="shared" si="0"/>
        <v>-3.156084777546133E-2</v>
      </c>
      <c r="G7" s="25">
        <f t="shared" si="1"/>
        <v>-8.092489511730637E-2</v>
      </c>
      <c r="H7" s="25">
        <f t="shared" si="2"/>
        <v>-9.0538658728057039E-2</v>
      </c>
      <c r="I7" s="12"/>
    </row>
    <row r="8" spans="1:9" x14ac:dyDescent="0.35">
      <c r="A8" s="4" t="s">
        <v>79</v>
      </c>
      <c r="B8" s="12">
        <v>8668.4597853199994</v>
      </c>
      <c r="C8" s="12">
        <v>7915.4251950199987</v>
      </c>
      <c r="D8" s="12">
        <v>5874.4328462700005</v>
      </c>
      <c r="E8" s="12">
        <v>5256.9395578100011</v>
      </c>
      <c r="F8" s="25">
        <f t="shared" si="0"/>
        <v>9.5135077617027261E-2</v>
      </c>
      <c r="G8" s="25">
        <f t="shared" si="1"/>
        <v>0.4756249687702328</v>
      </c>
      <c r="H8" s="25">
        <f t="shared" si="2"/>
        <v>0.64895557386457947</v>
      </c>
      <c r="I8" s="12"/>
    </row>
    <row r="9" spans="1:9" x14ac:dyDescent="0.35">
      <c r="A9" s="4" t="s">
        <v>259</v>
      </c>
      <c r="B9" s="12">
        <v>2011.9951876299997</v>
      </c>
      <c r="C9" s="12">
        <v>1965.2333110699999</v>
      </c>
      <c r="D9" s="12">
        <v>20.141090130000002</v>
      </c>
      <c r="E9" s="12">
        <v>3414.3092384000001</v>
      </c>
      <c r="F9" s="25">
        <f t="shared" si="0"/>
        <v>2.3794567442244102E-2</v>
      </c>
      <c r="G9" s="25">
        <f t="shared" si="1"/>
        <v>98.895049108248017</v>
      </c>
      <c r="H9" s="25">
        <f t="shared" si="2"/>
        <v>-0.41071676665911705</v>
      </c>
      <c r="I9" s="12"/>
    </row>
    <row r="10" spans="1:9" x14ac:dyDescent="0.35">
      <c r="A10" s="40" t="s">
        <v>80</v>
      </c>
      <c r="B10" s="41">
        <v>8893.5595464399994</v>
      </c>
      <c r="C10" s="41">
        <v>8594.0627634400007</v>
      </c>
      <c r="D10" s="41">
        <v>8097.1133853399997</v>
      </c>
      <c r="E10" s="41">
        <v>7970.5066099999995</v>
      </c>
      <c r="F10" s="42">
        <f t="shared" si="0"/>
        <v>3.4849266434740019E-2</v>
      </c>
      <c r="G10" s="42">
        <f t="shared" si="1"/>
        <v>9.8361739943271992E-2</v>
      </c>
      <c r="H10" s="42">
        <f t="shared" si="2"/>
        <v>0.11580856545328178</v>
      </c>
      <c r="I10" s="12"/>
    </row>
    <row r="11" spans="1:9" x14ac:dyDescent="0.35">
      <c r="A11" s="18" t="s">
        <v>260</v>
      </c>
      <c r="B11" s="78">
        <v>5839.3611853399998</v>
      </c>
      <c r="C11" s="78">
        <v>5839.3611853399998</v>
      </c>
      <c r="D11" s="78">
        <v>5839.3611853399998</v>
      </c>
      <c r="E11" s="78">
        <v>6211.9994099999994</v>
      </c>
      <c r="F11" s="25">
        <f t="shared" si="0"/>
        <v>0</v>
      </c>
      <c r="G11" s="25">
        <f t="shared" si="1"/>
        <v>0</v>
      </c>
      <c r="H11" s="25">
        <f t="shared" si="2"/>
        <v>-5.9986841605318128E-2</v>
      </c>
      <c r="I11" s="12"/>
    </row>
    <row r="12" spans="1:9" x14ac:dyDescent="0.35">
      <c r="A12" s="18" t="s">
        <v>261</v>
      </c>
      <c r="B12" s="12">
        <v>2455.0563611000002</v>
      </c>
      <c r="C12" s="12">
        <v>2155.5595781000002</v>
      </c>
      <c r="D12" s="12">
        <v>1658.6101999999998</v>
      </c>
      <c r="E12" s="12">
        <v>1159.3652</v>
      </c>
      <c r="F12" s="25">
        <f t="shared" si="0"/>
        <v>0.13894154726355973</v>
      </c>
      <c r="G12" s="25">
        <f t="shared" si="1"/>
        <v>0.48018887204480021</v>
      </c>
      <c r="H12" s="25">
        <f t="shared" si="2"/>
        <v>1.1175867285821588</v>
      </c>
      <c r="I12" s="12"/>
    </row>
    <row r="13" spans="1:9" x14ac:dyDescent="0.35">
      <c r="A13" s="18" t="s">
        <v>262</v>
      </c>
      <c r="B13" s="12">
        <v>599.14200000000005</v>
      </c>
      <c r="C13" s="12">
        <v>599.14200000000005</v>
      </c>
      <c r="D13" s="12">
        <v>599.14200000000005</v>
      </c>
      <c r="E13" s="12">
        <v>599.14200000000005</v>
      </c>
      <c r="F13" s="25">
        <f t="shared" si="0"/>
        <v>0</v>
      </c>
      <c r="G13" s="25">
        <f t="shared" si="1"/>
        <v>0</v>
      </c>
      <c r="H13" s="25">
        <f t="shared" si="2"/>
        <v>0</v>
      </c>
      <c r="I13" s="12"/>
    </row>
    <row r="14" spans="1:9" x14ac:dyDescent="0.35">
      <c r="A14" s="26" t="s">
        <v>81</v>
      </c>
      <c r="B14" s="30">
        <v>20758.634792830002</v>
      </c>
      <c r="C14" s="30">
        <v>21004.276104200006</v>
      </c>
      <c r="D14" s="30">
        <v>20248.559225549998</v>
      </c>
      <c r="E14" s="30">
        <v>20119.096998090001</v>
      </c>
      <c r="F14" s="32">
        <f t="shared" si="0"/>
        <v>-1.1694823956388831E-2</v>
      </c>
      <c r="G14" s="32">
        <f t="shared" si="1"/>
        <v>2.5190709205442214E-2</v>
      </c>
      <c r="H14" s="32">
        <f t="shared" si="2"/>
        <v>3.1787599354022471E-2</v>
      </c>
      <c r="I14" s="12"/>
    </row>
    <row r="15" spans="1:9" x14ac:dyDescent="0.35">
      <c r="A15" s="5" t="s">
        <v>264</v>
      </c>
      <c r="B15" s="12">
        <v>11226.74628922</v>
      </c>
      <c r="C15" s="12">
        <v>11359.507705380001</v>
      </c>
      <c r="D15" s="12">
        <v>11248.505361059999</v>
      </c>
      <c r="E15" s="12">
        <v>11205.075190850001</v>
      </c>
      <c r="F15" s="25">
        <f t="shared" si="0"/>
        <v>-1.1687250856577517E-2</v>
      </c>
      <c r="G15" s="25">
        <f t="shared" si="1"/>
        <v>-1.9343967168584197E-3</v>
      </c>
      <c r="H15" s="25">
        <f t="shared" si="2"/>
        <v>1.9340431010847674E-3</v>
      </c>
      <c r="I15" s="12"/>
    </row>
    <row r="16" spans="1:9" x14ac:dyDescent="0.35">
      <c r="A16" s="5" t="s">
        <v>265</v>
      </c>
      <c r="B16" s="12">
        <v>3677.0544057399998</v>
      </c>
      <c r="C16" s="12">
        <v>3719.02729967</v>
      </c>
      <c r="D16" s="12">
        <v>3682.2413426200001</v>
      </c>
      <c r="E16" s="12">
        <v>3652.1566835699996</v>
      </c>
      <c r="F16" s="25">
        <f t="shared" si="0"/>
        <v>-1.128598704659271E-2</v>
      </c>
      <c r="G16" s="25">
        <f t="shared" ref="G16" si="3">(+B16-D16)/D16</f>
        <v>-1.4086357729908266E-3</v>
      </c>
      <c r="H16" s="25">
        <f t="shared" ref="H16" si="4">(+B16-E16)/E16</f>
        <v>6.8172656124004362E-3</v>
      </c>
      <c r="I16" s="12"/>
    </row>
    <row r="17" spans="1:9" x14ac:dyDescent="0.35">
      <c r="A17" s="5" t="s">
        <v>266</v>
      </c>
      <c r="B17" s="12">
        <v>4683.0428291499993</v>
      </c>
      <c r="C17" s="12">
        <v>4741.9152918700001</v>
      </c>
      <c r="D17" s="12">
        <v>4268.0958634400004</v>
      </c>
      <c r="E17" s="12">
        <v>4270.4101011900002</v>
      </c>
      <c r="F17" s="77">
        <f t="shared" si="0"/>
        <v>-1.2415334120568857E-2</v>
      </c>
      <c r="G17" s="77">
        <f t="shared" ref="G17:G27" si="5">(+B17-D17)/D17</f>
        <v>9.7220629289136898E-2</v>
      </c>
      <c r="H17" s="77">
        <f t="shared" ref="H17:H27" si="6">(+B17-E17)/E17</f>
        <v>9.6626019090066809E-2</v>
      </c>
      <c r="I17" s="12"/>
    </row>
    <row r="18" spans="1:9" x14ac:dyDescent="0.35">
      <c r="A18" s="5" t="s">
        <v>267</v>
      </c>
      <c r="B18" s="12">
        <v>1171.7912687200003</v>
      </c>
      <c r="C18" s="12">
        <v>1183.8258072800002</v>
      </c>
      <c r="D18" s="12">
        <v>1049.7166584300003</v>
      </c>
      <c r="E18" s="12">
        <v>991.45502247999991</v>
      </c>
      <c r="F18" s="77">
        <f t="shared" si="0"/>
        <v>-1.0165801831648572E-2</v>
      </c>
      <c r="G18" s="77">
        <f t="shared" si="5"/>
        <v>0.11629291514967463</v>
      </c>
      <c r="H18" s="77">
        <f t="shared" si="6"/>
        <v>0.18189049644320926</v>
      </c>
      <c r="I18" s="12"/>
    </row>
    <row r="19" spans="1:9" x14ac:dyDescent="0.35">
      <c r="A19" s="26" t="s">
        <v>82</v>
      </c>
      <c r="B19" s="30">
        <v>98410.844626329985</v>
      </c>
      <c r="C19" s="30">
        <v>99192.193564050001</v>
      </c>
      <c r="D19" s="30">
        <v>98178.451972959985</v>
      </c>
      <c r="E19" s="30">
        <v>101105.91514813999</v>
      </c>
      <c r="F19" s="32">
        <f t="shared" si="0"/>
        <v>-7.877121269785077E-3</v>
      </c>
      <c r="G19" s="32">
        <f t="shared" si="5"/>
        <v>2.3670433654220226E-3</v>
      </c>
      <c r="H19" s="32">
        <f t="shared" si="6"/>
        <v>-2.6655913433563189E-2</v>
      </c>
      <c r="I19" s="12"/>
    </row>
    <row r="20" spans="1:9" x14ac:dyDescent="0.35">
      <c r="A20" s="43" t="s">
        <v>83</v>
      </c>
      <c r="B20" s="41">
        <v>87535.727354339993</v>
      </c>
      <c r="C20" s="41">
        <v>88662.072703380007</v>
      </c>
      <c r="D20" s="41">
        <v>90081.33858761999</v>
      </c>
      <c r="E20" s="41">
        <v>89779.860943200008</v>
      </c>
      <c r="F20" s="42">
        <f t="shared" si="0"/>
        <v>-1.2703801238757579E-2</v>
      </c>
      <c r="G20" s="42">
        <f t="shared" si="5"/>
        <v>-2.8259029818966785E-2</v>
      </c>
      <c r="H20" s="42">
        <f t="shared" si="6"/>
        <v>-2.4995957504097555E-2</v>
      </c>
      <c r="I20" s="12"/>
    </row>
    <row r="21" spans="1:9" x14ac:dyDescent="0.35">
      <c r="A21" s="4" t="s">
        <v>84</v>
      </c>
      <c r="B21" s="12">
        <v>66777.092561509984</v>
      </c>
      <c r="C21" s="12">
        <v>67657.796599180001</v>
      </c>
      <c r="D21" s="12">
        <v>69832.779362069996</v>
      </c>
      <c r="E21" s="12">
        <v>69660.763945110011</v>
      </c>
      <c r="F21" s="115">
        <f t="shared" si="0"/>
        <v>-1.3017036940879197E-2</v>
      </c>
      <c r="G21" s="115">
        <f t="shared" si="5"/>
        <v>-4.3757198674806326E-2</v>
      </c>
      <c r="H21" s="115">
        <f t="shared" si="6"/>
        <v>-4.1395919600770513E-2</v>
      </c>
      <c r="I21" s="12"/>
    </row>
    <row r="22" spans="1:9" x14ac:dyDescent="0.35">
      <c r="A22" s="87" t="s">
        <v>76</v>
      </c>
      <c r="B22" s="12">
        <v>5646.1232105600002</v>
      </c>
      <c r="C22" s="12">
        <v>5572.3944857300003</v>
      </c>
      <c r="D22" s="12">
        <v>6889.4704256699997</v>
      </c>
      <c r="E22" s="12">
        <v>6693.2751151100001</v>
      </c>
      <c r="F22" s="115">
        <f t="shared" si="0"/>
        <v>1.3231067006976488E-2</v>
      </c>
      <c r="G22" s="115">
        <f t="shared" si="5"/>
        <v>-0.18047065134024207</v>
      </c>
      <c r="H22" s="115">
        <f t="shared" si="6"/>
        <v>-0.15644835847043925</v>
      </c>
      <c r="I22" s="12"/>
    </row>
    <row r="23" spans="1:9" x14ac:dyDescent="0.35">
      <c r="A23" s="87" t="s">
        <v>85</v>
      </c>
      <c r="B23" s="12">
        <v>52432.072103549996</v>
      </c>
      <c r="C23" s="12">
        <v>54140.801704589998</v>
      </c>
      <c r="D23" s="12">
        <v>57048.735000000001</v>
      </c>
      <c r="E23" s="12">
        <v>57651.787628730002</v>
      </c>
      <c r="F23" s="115">
        <f t="shared" si="0"/>
        <v>-3.156084777546133E-2</v>
      </c>
      <c r="G23" s="115">
        <f t="shared" si="5"/>
        <v>-8.092489511730637E-2</v>
      </c>
      <c r="H23" s="115">
        <f t="shared" si="6"/>
        <v>-9.0538658728057039E-2</v>
      </c>
      <c r="I23" s="12"/>
    </row>
    <row r="24" spans="1:9" x14ac:dyDescent="0.35">
      <c r="A24" s="87" t="s">
        <v>86</v>
      </c>
      <c r="B24" s="12">
        <v>8668.4597853199994</v>
      </c>
      <c r="C24" s="12">
        <v>7915.4251950199987</v>
      </c>
      <c r="D24" s="12">
        <v>5874.4328462700005</v>
      </c>
      <c r="E24" s="12">
        <v>5256.9395578100011</v>
      </c>
      <c r="F24" s="115">
        <f t="shared" si="0"/>
        <v>9.5135077617027261E-2</v>
      </c>
      <c r="G24" s="115">
        <f t="shared" si="5"/>
        <v>0.4756249687702328</v>
      </c>
      <c r="H24" s="115">
        <f t="shared" si="6"/>
        <v>0.64895557386457947</v>
      </c>
      <c r="I24" s="12"/>
    </row>
    <row r="25" spans="1:9" x14ac:dyDescent="0.35">
      <c r="A25" s="87" t="s">
        <v>87</v>
      </c>
      <c r="B25" s="12">
        <v>30.437462079999996</v>
      </c>
      <c r="C25" s="12">
        <v>29.175213840000001</v>
      </c>
      <c r="D25" s="12">
        <v>20.141090130000002</v>
      </c>
      <c r="E25" s="12">
        <v>58.761643460000002</v>
      </c>
      <c r="F25" s="115">
        <f t="shared" si="0"/>
        <v>4.3264404056206726E-2</v>
      </c>
      <c r="G25" s="115">
        <f t="shared" si="5"/>
        <v>0.51121224737799198</v>
      </c>
      <c r="H25" s="115">
        <f t="shared" si="6"/>
        <v>-0.48201819609216229</v>
      </c>
      <c r="I25" s="12"/>
    </row>
    <row r="26" spans="1:9" x14ac:dyDescent="0.35">
      <c r="A26" s="4" t="s">
        <v>88</v>
      </c>
      <c r="B26" s="12">
        <v>20758.634792830002</v>
      </c>
      <c r="C26" s="12">
        <v>21004.276104200006</v>
      </c>
      <c r="D26" s="12">
        <v>20248.559225549998</v>
      </c>
      <c r="E26" s="12">
        <v>20119.096998090001</v>
      </c>
      <c r="F26" s="115">
        <f t="shared" si="0"/>
        <v>-1.1694823956388831E-2</v>
      </c>
      <c r="G26" s="115">
        <f t="shared" si="5"/>
        <v>2.5190709205442214E-2</v>
      </c>
      <c r="H26" s="115">
        <f t="shared" si="6"/>
        <v>3.1787599354022471E-2</v>
      </c>
      <c r="I26" s="12"/>
    </row>
    <row r="27" spans="1:9" x14ac:dyDescent="0.35">
      <c r="A27" s="43" t="s">
        <v>89</v>
      </c>
      <c r="B27" s="41">
        <v>10875.117271989999</v>
      </c>
      <c r="C27" s="41">
        <v>10530.12086067</v>
      </c>
      <c r="D27" s="41">
        <v>8097.1133853399997</v>
      </c>
      <c r="E27" s="41">
        <v>11326.054204939999</v>
      </c>
      <c r="F27" s="42">
        <f t="shared" si="0"/>
        <v>3.2762815914920793E-2</v>
      </c>
      <c r="G27" s="42">
        <f t="shared" si="5"/>
        <v>0.3430857089984235</v>
      </c>
      <c r="H27" s="42">
        <f t="shared" si="6"/>
        <v>-3.981412456540414E-2</v>
      </c>
      <c r="I27" s="12"/>
    </row>
    <row r="28" spans="1:9" x14ac:dyDescent="0.35">
      <c r="B28" s="116"/>
      <c r="C28" s="116"/>
    </row>
  </sheetData>
  <pageMargins left="0.70866141732283472" right="0.70866141732283472" top="0.74803149606299213" bottom="0.74803149606299213" header="0.31496062992125984" footer="0.31496062992125984"/>
  <pageSetup paperSize="9" scale="62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8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2" sqref="I3:I12"/>
    </sheetView>
  </sheetViews>
  <sheetFormatPr baseColWidth="10" defaultRowHeight="14.5" x14ac:dyDescent="0.35"/>
  <cols>
    <col min="1" max="1" width="43" customWidth="1"/>
    <col min="2" max="5" width="11.26953125" customWidth="1"/>
  </cols>
  <sheetData>
    <row r="1" spans="1:9" ht="15.5" x14ac:dyDescent="0.35">
      <c r="A1" s="19" t="s">
        <v>90</v>
      </c>
      <c r="B1" s="19"/>
      <c r="C1" s="19"/>
    </row>
    <row r="2" spans="1:9" ht="15" thickBot="1" x14ac:dyDescent="0.4">
      <c r="A2" s="20" t="s">
        <v>75</v>
      </c>
      <c r="B2" s="22">
        <f>MAX(Relevantes!$2:$2)</f>
        <v>45199</v>
      </c>
      <c r="C2" s="22">
        <f>EOMONTH(B2,-3)</f>
        <v>45107</v>
      </c>
      <c r="D2" s="22">
        <f>EOMONTH(B2,-MONTH(B2))</f>
        <v>44926</v>
      </c>
      <c r="E2" s="22">
        <f>EOMONTH(B2,-12)</f>
        <v>44834</v>
      </c>
      <c r="F2" s="23" t="s">
        <v>207</v>
      </c>
      <c r="G2" s="23" t="s">
        <v>279</v>
      </c>
      <c r="H2" s="23" t="s">
        <v>208</v>
      </c>
    </row>
    <row r="3" spans="1:9" ht="15" thickBot="1" x14ac:dyDescent="0.4">
      <c r="A3" s="44" t="s">
        <v>91</v>
      </c>
      <c r="B3" s="41">
        <v>4966.3662189999995</v>
      </c>
      <c r="C3" s="41">
        <v>5071.8141160000005</v>
      </c>
      <c r="D3" s="41">
        <v>5767.1476509999993</v>
      </c>
      <c r="E3" s="41">
        <v>5983.3839229999994</v>
      </c>
      <c r="F3" s="42">
        <f t="shared" ref="F3:F12" si="0">(B3-C3)/C3</f>
        <v>-2.079096248171744E-2</v>
      </c>
      <c r="G3" s="42">
        <f>(B3-D3)/D3</f>
        <v>-0.13885225079353528</v>
      </c>
      <c r="H3" s="42">
        <f>(B3-E3)/E3</f>
        <v>-0.16997366658866828</v>
      </c>
      <c r="I3" s="12"/>
    </row>
    <row r="4" spans="1:9" x14ac:dyDescent="0.35">
      <c r="A4" s="45" t="s">
        <v>92</v>
      </c>
      <c r="B4" s="46">
        <v>44566.943633880001</v>
      </c>
      <c r="C4" s="46">
        <v>46158.700978947993</v>
      </c>
      <c r="D4" s="46">
        <v>47186.046362769994</v>
      </c>
      <c r="E4" s="46">
        <v>47359.179226069995</v>
      </c>
      <c r="F4" s="47">
        <f t="shared" si="0"/>
        <v>-3.4484448463875939E-2</v>
      </c>
      <c r="G4" s="47">
        <f t="shared" ref="G4:G12" si="1">(B4-D4)/D4</f>
        <v>-5.5505873680412376E-2</v>
      </c>
      <c r="H4" s="47">
        <f t="shared" ref="H4:H12" si="2">(B4-E4)/E4</f>
        <v>-5.8958698985495536E-2</v>
      </c>
      <c r="I4" s="12"/>
    </row>
    <row r="5" spans="1:9" x14ac:dyDescent="0.35">
      <c r="A5" s="1" t="s">
        <v>93</v>
      </c>
      <c r="B5" s="13">
        <v>11047.994384450001</v>
      </c>
      <c r="C5" s="13">
        <v>11423.881503768</v>
      </c>
      <c r="D5" s="13">
        <v>12694.63136277</v>
      </c>
      <c r="E5" s="13">
        <v>12965.740226069998</v>
      </c>
      <c r="F5" s="39">
        <f t="shared" si="0"/>
        <v>-3.2903625549163616E-2</v>
      </c>
      <c r="G5" s="39">
        <f t="shared" si="1"/>
        <v>-0.12971128749347935</v>
      </c>
      <c r="H5" s="39">
        <f t="shared" si="2"/>
        <v>-0.14790870464642022</v>
      </c>
      <c r="I5" s="12"/>
    </row>
    <row r="6" spans="1:9" x14ac:dyDescent="0.35">
      <c r="A6" t="s">
        <v>94</v>
      </c>
      <c r="B6" s="12">
        <v>518.5254270800001</v>
      </c>
      <c r="C6" s="12">
        <v>544.49310322000008</v>
      </c>
      <c r="D6" s="12">
        <v>662.51810277000004</v>
      </c>
      <c r="E6" s="12">
        <v>730.68745092000017</v>
      </c>
      <c r="F6" s="25">
        <f t="shared" si="0"/>
        <v>-4.7691469343566419E-2</v>
      </c>
      <c r="G6" s="25">
        <f t="shared" si="1"/>
        <v>-0.21734149616133353</v>
      </c>
      <c r="H6" s="25">
        <f t="shared" si="2"/>
        <v>-0.29035947390757744</v>
      </c>
      <c r="I6" s="12"/>
    </row>
    <row r="7" spans="1:9" x14ac:dyDescent="0.35">
      <c r="A7" t="s">
        <v>95</v>
      </c>
      <c r="B7" s="12">
        <v>5218.1027006600007</v>
      </c>
      <c r="C7" s="12">
        <v>5412.7547062399999</v>
      </c>
      <c r="D7" s="12">
        <v>6233.1360537899991</v>
      </c>
      <c r="E7" s="12">
        <v>6457.1511610099997</v>
      </c>
      <c r="F7" s="25">
        <f t="shared" si="0"/>
        <v>-3.596172672587547E-2</v>
      </c>
      <c r="G7" s="25">
        <f t="shared" si="1"/>
        <v>-0.16284472926157564</v>
      </c>
      <c r="H7" s="25">
        <f t="shared" si="2"/>
        <v>-0.19188778912776644</v>
      </c>
      <c r="I7" s="12"/>
    </row>
    <row r="8" spans="1:9" x14ac:dyDescent="0.35">
      <c r="A8" t="s">
        <v>96</v>
      </c>
      <c r="B8" s="12">
        <v>5311.3662567100009</v>
      </c>
      <c r="C8" s="12">
        <v>5466.6336943080005</v>
      </c>
      <c r="D8" s="12">
        <v>5798.9772062100001</v>
      </c>
      <c r="E8" s="12">
        <v>5777.9016141399989</v>
      </c>
      <c r="F8" s="25">
        <f t="shared" si="0"/>
        <v>-2.8402751360433753E-2</v>
      </c>
      <c r="G8" s="25">
        <f t="shared" si="1"/>
        <v>-8.4085681347018756E-2</v>
      </c>
      <c r="H8" s="25">
        <f t="shared" si="2"/>
        <v>-8.0744773550360721E-2</v>
      </c>
      <c r="I8" s="12"/>
    </row>
    <row r="9" spans="1:9" x14ac:dyDescent="0.35">
      <c r="A9" s="1" t="s">
        <v>97</v>
      </c>
      <c r="B9" s="13">
        <v>33518.949249429999</v>
      </c>
      <c r="C9" s="13">
        <v>34734.819475179997</v>
      </c>
      <c r="D9" s="13">
        <v>34491.414999999994</v>
      </c>
      <c r="E9" s="13">
        <v>34393.438999999998</v>
      </c>
      <c r="F9" s="39">
        <f t="shared" si="0"/>
        <v>-3.500436288775894E-2</v>
      </c>
      <c r="G9" s="39">
        <f t="shared" si="1"/>
        <v>-2.8194428978051335E-2</v>
      </c>
      <c r="H9" s="39">
        <f t="shared" si="2"/>
        <v>-2.5426063109594804E-2</v>
      </c>
      <c r="I9" s="12"/>
    </row>
    <row r="10" spans="1:9" x14ac:dyDescent="0.35">
      <c r="A10" s="16" t="s">
        <v>98</v>
      </c>
      <c r="B10" s="12">
        <v>30640.637834089801</v>
      </c>
      <c r="C10" s="12">
        <v>31067.665845391002</v>
      </c>
      <c r="D10" s="12">
        <v>31617.292042280002</v>
      </c>
      <c r="E10" s="12">
        <v>31574.42734810977</v>
      </c>
      <c r="F10" s="25">
        <f t="shared" si="0"/>
        <v>-1.3745094769150559E-2</v>
      </c>
      <c r="G10" s="25">
        <f t="shared" si="1"/>
        <v>-3.0889875289894429E-2</v>
      </c>
      <c r="H10" s="25">
        <f t="shared" si="2"/>
        <v>-2.9574234355064906E-2</v>
      </c>
      <c r="I10" s="12"/>
    </row>
    <row r="11" spans="1:9" x14ac:dyDescent="0.35">
      <c r="A11" t="s">
        <v>99</v>
      </c>
      <c r="B11" s="12">
        <v>2878.3114153402016</v>
      </c>
      <c r="C11" s="12">
        <v>3667.1536297889952</v>
      </c>
      <c r="D11" s="12">
        <v>2874.1229577199924</v>
      </c>
      <c r="E11" s="12">
        <v>2819.0116518902282</v>
      </c>
      <c r="F11" s="25">
        <f t="shared" si="0"/>
        <v>-0.21511021737428079</v>
      </c>
      <c r="G11" s="25">
        <f t="shared" si="1"/>
        <v>1.4572993855251919E-3</v>
      </c>
      <c r="H11" s="25">
        <f t="shared" si="2"/>
        <v>2.1035657447606222E-2</v>
      </c>
      <c r="I11" s="12"/>
    </row>
    <row r="12" spans="1:9" x14ac:dyDescent="0.35">
      <c r="A12" s="26" t="s">
        <v>201</v>
      </c>
      <c r="B12" s="30">
        <v>49533.309852880004</v>
      </c>
      <c r="C12" s="30">
        <v>51230.515094947994</v>
      </c>
      <c r="D12" s="30">
        <v>52953.194013769993</v>
      </c>
      <c r="E12" s="30">
        <v>53342.563149069996</v>
      </c>
      <c r="F12" s="32">
        <f t="shared" si="0"/>
        <v>-3.3128795190180645E-2</v>
      </c>
      <c r="G12" s="32">
        <f t="shared" si="1"/>
        <v>-6.4583151679210887E-2</v>
      </c>
      <c r="H12" s="32">
        <f t="shared" si="2"/>
        <v>-7.1411140959701053E-2</v>
      </c>
      <c r="I12" s="12"/>
    </row>
    <row r="14" spans="1:9" x14ac:dyDescent="0.35">
      <c r="D14" s="12"/>
      <c r="E14" s="12"/>
    </row>
    <row r="15" spans="1:9" x14ac:dyDescent="0.35">
      <c r="D15" s="12"/>
      <c r="E15" s="12"/>
    </row>
    <row r="18" spans="4:5" x14ac:dyDescent="0.35">
      <c r="D18" s="12"/>
      <c r="E18" s="12"/>
    </row>
  </sheetData>
  <pageMargins left="0.70866141732283472" right="0.70866141732283472" top="0.74803149606299213" bottom="0.74803149606299213" header="0.31496062992125984" footer="0.31496062992125984"/>
  <pageSetup paperSize="9" scale="79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9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4" sqref="I4"/>
    </sheetView>
  </sheetViews>
  <sheetFormatPr baseColWidth="10" defaultRowHeight="14.5" x14ac:dyDescent="0.35"/>
  <cols>
    <col min="1" max="1" width="37.26953125" bestFit="1" customWidth="1"/>
    <col min="2" max="3" width="11.26953125" customWidth="1"/>
    <col min="4" max="4" width="10.7265625" bestFit="1" customWidth="1"/>
    <col min="5" max="5" width="11.26953125" customWidth="1"/>
  </cols>
  <sheetData>
    <row r="1" spans="1:8" ht="15.5" x14ac:dyDescent="0.35">
      <c r="A1" s="19" t="s">
        <v>218</v>
      </c>
      <c r="B1" s="19"/>
      <c r="C1" s="19"/>
      <c r="D1" s="19"/>
      <c r="E1" s="19"/>
    </row>
    <row r="2" spans="1:8" ht="15" thickBot="1" x14ac:dyDescent="0.4">
      <c r="A2" s="20" t="s">
        <v>48</v>
      </c>
      <c r="B2" s="22">
        <f>MAX(Relevantes!$2:$2)</f>
        <v>45199</v>
      </c>
      <c r="C2" s="22">
        <f>EOMONTH(B2,-3)</f>
        <v>45107</v>
      </c>
      <c r="D2" s="22">
        <f>EOMONTH(B2,-MONTH(B2))</f>
        <v>44926</v>
      </c>
      <c r="E2" s="22">
        <f>EOMONTH(B2,-12)</f>
        <v>44834</v>
      </c>
      <c r="F2" s="23" t="s">
        <v>207</v>
      </c>
      <c r="G2" s="23" t="s">
        <v>279</v>
      </c>
      <c r="H2" s="23" t="s">
        <v>208</v>
      </c>
    </row>
    <row r="3" spans="1:8" x14ac:dyDescent="0.35">
      <c r="A3" s="1" t="s">
        <v>101</v>
      </c>
      <c r="B3" s="1"/>
      <c r="C3" s="1"/>
      <c r="D3" s="1"/>
      <c r="E3" s="1"/>
      <c r="F3" s="3"/>
      <c r="G3" s="3"/>
      <c r="H3" s="3"/>
    </row>
    <row r="4" spans="1:8" x14ac:dyDescent="0.35">
      <c r="A4" t="s">
        <v>220</v>
      </c>
      <c r="B4" s="12">
        <v>46132.897320949996</v>
      </c>
      <c r="C4" s="12">
        <v>47756.240051387998</v>
      </c>
      <c r="D4" s="12">
        <v>49281.740676919995</v>
      </c>
      <c r="E4" s="12">
        <v>49937.492514440004</v>
      </c>
      <c r="F4" s="48">
        <f>(B4-C4)/C4</f>
        <v>-3.3992264229579371E-2</v>
      </c>
      <c r="G4" s="48">
        <f>(B4-D4)/D4</f>
        <v>-6.3894726783558786E-2</v>
      </c>
      <c r="H4" s="48">
        <f>(B4-E4)/E4</f>
        <v>-7.6187149212385161E-2</v>
      </c>
    </row>
    <row r="5" spans="1:8" x14ac:dyDescent="0.35">
      <c r="A5" t="s">
        <v>221</v>
      </c>
      <c r="B5" s="12">
        <v>3400.4125319300001</v>
      </c>
      <c r="C5" s="12">
        <v>3474.2750435600001</v>
      </c>
      <c r="D5" s="12">
        <v>3671.4533368499997</v>
      </c>
      <c r="E5" s="12">
        <v>3405.0706346299999</v>
      </c>
      <c r="F5" s="48">
        <f>(B5-C5)/C5</f>
        <v>-2.1259834268709758E-2</v>
      </c>
      <c r="G5" s="48">
        <f t="shared" ref="G5:G7" si="0">(B5-D5)/D5</f>
        <v>-7.3823845777798908E-2</v>
      </c>
      <c r="H5" s="48">
        <f t="shared" ref="H5:H7" si="1">(B5-E5)/E5</f>
        <v>-1.3679900359852303E-3</v>
      </c>
    </row>
    <row r="6" spans="1:8" x14ac:dyDescent="0.35">
      <c r="A6" t="s">
        <v>222</v>
      </c>
      <c r="B6" s="12">
        <v>1737.02255614</v>
      </c>
      <c r="C6" s="12">
        <v>1920.5421788099998</v>
      </c>
      <c r="D6" s="12">
        <v>1937.7634854400003</v>
      </c>
      <c r="E6" s="12">
        <v>1951.3101889</v>
      </c>
      <c r="F6" s="48">
        <f>(B6-C6)/C6</f>
        <v>-9.555615320237934E-2</v>
      </c>
      <c r="G6" s="48">
        <f t="shared" si="0"/>
        <v>-0.10359413355052402</v>
      </c>
      <c r="H6" s="48">
        <f t="shared" si="1"/>
        <v>-0.10981730838027294</v>
      </c>
    </row>
    <row r="7" spans="1:8" x14ac:dyDescent="0.35">
      <c r="A7" s="26" t="s">
        <v>219</v>
      </c>
      <c r="B7" s="30">
        <v>51270.332409019997</v>
      </c>
      <c r="C7" s="30">
        <v>53151.057273758001</v>
      </c>
      <c r="D7" s="30">
        <v>54890.957499209995</v>
      </c>
      <c r="E7" s="30">
        <v>55293.873337970006</v>
      </c>
      <c r="F7" s="51">
        <f>(B7-C7)/C7</f>
        <v>-3.5384524056618613E-2</v>
      </c>
      <c r="G7" s="51">
        <f t="shared" si="0"/>
        <v>-6.5960319424963706E-2</v>
      </c>
      <c r="H7" s="51">
        <f t="shared" si="1"/>
        <v>-7.27664872445654E-2</v>
      </c>
    </row>
    <row r="8" spans="1:8" x14ac:dyDescent="0.35">
      <c r="F8" s="25"/>
      <c r="G8" s="25"/>
      <c r="H8" s="25"/>
    </row>
    <row r="9" spans="1:8" x14ac:dyDescent="0.35">
      <c r="A9" s="1" t="s">
        <v>103</v>
      </c>
      <c r="B9" s="1"/>
      <c r="C9" s="1"/>
      <c r="D9" s="1"/>
      <c r="E9" s="1"/>
      <c r="F9" s="77"/>
      <c r="G9" s="77"/>
      <c r="H9" s="77"/>
    </row>
    <row r="10" spans="1:8" x14ac:dyDescent="0.35">
      <c r="A10" t="s">
        <v>220</v>
      </c>
      <c r="B10" s="12">
        <v>190.39400000000001</v>
      </c>
      <c r="C10" s="12">
        <v>191.28428463</v>
      </c>
      <c r="D10" s="12">
        <v>217.49328234000001</v>
      </c>
      <c r="E10" s="12">
        <v>149.53630352000079</v>
      </c>
      <c r="F10" s="77">
        <f>(B10-C10)/C10</f>
        <v>-4.6542486839526234E-3</v>
      </c>
      <c r="G10" s="77">
        <f t="shared" ref="G10:G13" si="2">(B10-D10)/D10</f>
        <v>-0.12459824987898521</v>
      </c>
      <c r="H10" s="77">
        <f>(B10-E10)/E10</f>
        <v>0.27322927956778348</v>
      </c>
    </row>
    <row r="11" spans="1:8" x14ac:dyDescent="0.35">
      <c r="A11" t="s">
        <v>221</v>
      </c>
      <c r="B11" s="12">
        <v>211.483</v>
      </c>
      <c r="C11" s="12">
        <v>216.02486827999999</v>
      </c>
      <c r="D11" s="12">
        <v>214.28071766000002</v>
      </c>
      <c r="E11" s="12">
        <v>235.81199999999998</v>
      </c>
      <c r="F11" s="77">
        <f>(B11-C11)/C11</f>
        <v>-2.1024747364331495E-2</v>
      </c>
      <c r="G11" s="77">
        <f t="shared" si="2"/>
        <v>-1.3056320188544293E-2</v>
      </c>
      <c r="H11" s="77">
        <f t="shared" ref="H11:H13" si="3">(B11-E11)/E11</f>
        <v>-0.10317117025427026</v>
      </c>
    </row>
    <row r="12" spans="1:8" x14ac:dyDescent="0.35">
      <c r="A12" t="s">
        <v>222</v>
      </c>
      <c r="B12" s="12">
        <v>740.40344520999997</v>
      </c>
      <c r="C12" s="12">
        <v>856.74071923999986</v>
      </c>
      <c r="D12" s="12">
        <v>857.57319708999989</v>
      </c>
      <c r="E12" s="12">
        <v>877.49672209999994</v>
      </c>
      <c r="F12" s="77">
        <f>(B12-C12)/C12</f>
        <v>-0.13579052730585831</v>
      </c>
      <c r="G12" s="77">
        <f t="shared" si="2"/>
        <v>-0.13662944723271625</v>
      </c>
      <c r="H12" s="77">
        <f t="shared" si="3"/>
        <v>-0.15623223818080173</v>
      </c>
    </row>
    <row r="13" spans="1:8" x14ac:dyDescent="0.35">
      <c r="A13" s="26" t="s">
        <v>104</v>
      </c>
      <c r="B13" s="30">
        <v>1142.2804452099999</v>
      </c>
      <c r="C13" s="30">
        <v>1264.0498721500001</v>
      </c>
      <c r="D13" s="30">
        <v>1289.3471970900002</v>
      </c>
      <c r="E13" s="30">
        <v>1262.8450256200008</v>
      </c>
      <c r="F13" s="51">
        <f>(B13-C13)/C13</f>
        <v>-9.6332771058221509E-2</v>
      </c>
      <c r="G13" s="51">
        <f t="shared" si="2"/>
        <v>-0.114062955433512</v>
      </c>
      <c r="H13" s="51">
        <f t="shared" si="3"/>
        <v>-9.5470606419666593E-2</v>
      </c>
    </row>
    <row r="14" spans="1:8" x14ac:dyDescent="0.35">
      <c r="F14" s="48"/>
      <c r="G14" s="48"/>
      <c r="H14" s="48"/>
    </row>
    <row r="15" spans="1:8" x14ac:dyDescent="0.35">
      <c r="A15" s="1" t="s">
        <v>105</v>
      </c>
      <c r="B15" s="1"/>
      <c r="C15" s="1"/>
      <c r="D15" s="1"/>
      <c r="E15" s="1"/>
      <c r="F15" s="77"/>
      <c r="G15" s="77"/>
      <c r="H15" s="77"/>
    </row>
    <row r="16" spans="1:8" x14ac:dyDescent="0.35">
      <c r="A16" t="s">
        <v>220</v>
      </c>
      <c r="B16" s="77">
        <f t="shared" ref="B16:B18" si="4">+B10/B4</f>
        <v>4.1270765778141962E-3</v>
      </c>
      <c r="C16" s="77">
        <f t="shared" ref="C16:E16" si="5">+C10/C4</f>
        <v>4.005430168375252E-3</v>
      </c>
      <c r="D16" s="77">
        <f t="shared" si="5"/>
        <v>4.4132629925926732E-3</v>
      </c>
      <c r="E16" s="77">
        <f t="shared" si="5"/>
        <v>2.9944696057127946E-3</v>
      </c>
      <c r="F16" s="70">
        <f>(B16-C16)*100</f>
        <v>1.2164640943894411E-2</v>
      </c>
      <c r="G16" s="70">
        <f>(B16-D16)*100</f>
        <v>-2.861864147784771E-2</v>
      </c>
      <c r="H16" s="70">
        <f>(B16-E16)*100</f>
        <v>0.11326069721014015</v>
      </c>
    </row>
    <row r="17" spans="1:8" x14ac:dyDescent="0.35">
      <c r="A17" t="s">
        <v>221</v>
      </c>
      <c r="B17" s="77">
        <f t="shared" si="4"/>
        <v>6.2193336253812376E-2</v>
      </c>
      <c r="C17" s="77">
        <f t="shared" ref="C17:E17" si="6">+C11/C5</f>
        <v>6.2178401413678773E-2</v>
      </c>
      <c r="D17" s="77">
        <f t="shared" si="6"/>
        <v>5.8364004115015293E-2</v>
      </c>
      <c r="E17" s="77">
        <f t="shared" si="6"/>
        <v>6.9253188935865836E-2</v>
      </c>
      <c r="F17" s="70">
        <f>(B17-C17)*100</f>
        <v>1.4934840133602745E-3</v>
      </c>
      <c r="G17" s="70">
        <f>(B17-D17)*100</f>
        <v>0.38293321387970825</v>
      </c>
      <c r="H17" s="70">
        <f t="shared" ref="H17:H19" si="7">(B17-E17)*100</f>
        <v>-0.70598526820534602</v>
      </c>
    </row>
    <row r="18" spans="1:8" x14ac:dyDescent="0.35">
      <c r="A18" t="s">
        <v>222</v>
      </c>
      <c r="B18" s="77">
        <f t="shared" si="4"/>
        <v>0.42624860718868246</v>
      </c>
      <c r="C18" s="77">
        <f t="shared" ref="C18:E18" si="8">+C12/C6</f>
        <v>0.44609315467929522</v>
      </c>
      <c r="D18" s="77">
        <f t="shared" si="8"/>
        <v>0.44255823970966929</v>
      </c>
      <c r="E18" s="77">
        <f t="shared" si="8"/>
        <v>0.44969617188063049</v>
      </c>
      <c r="F18" s="70">
        <f>(B18-C18)*100</f>
        <v>-1.9844547490612763</v>
      </c>
      <c r="G18" s="70">
        <f>(B18-D18)*100</f>
        <v>-1.6309632520986828</v>
      </c>
      <c r="H18" s="70">
        <f t="shared" si="7"/>
        <v>-2.3447564691948033</v>
      </c>
    </row>
    <row r="19" spans="1:8" x14ac:dyDescent="0.35">
      <c r="A19" s="26" t="s">
        <v>106</v>
      </c>
      <c r="B19" s="51">
        <f>+B13/B6</f>
        <v>0.65760829712445878</v>
      </c>
      <c r="C19" s="51">
        <f t="shared" ref="C19:E19" si="9">+C13/C6</f>
        <v>0.65817345023540519</v>
      </c>
      <c r="D19" s="51">
        <f t="shared" si="9"/>
        <v>0.66537903453022973</v>
      </c>
      <c r="E19" s="51">
        <f t="shared" si="9"/>
        <v>0.64717800009638482</v>
      </c>
      <c r="F19" s="71">
        <f>(B19-C19)*100</f>
        <v>-5.6515311094640364E-2</v>
      </c>
      <c r="G19" s="71">
        <f>(B19-D19)*100</f>
        <v>-0.77707374057709444</v>
      </c>
      <c r="H19" s="71">
        <f t="shared" si="7"/>
        <v>1.0430297028073965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9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4.5" x14ac:dyDescent="0.35"/>
  <cols>
    <col min="1" max="1" width="43.26953125" customWidth="1"/>
    <col min="2" max="2" width="11.26953125" bestFit="1" customWidth="1"/>
    <col min="3" max="3" width="11.26953125" customWidth="1"/>
    <col min="4" max="4" width="10.81640625" bestFit="1" customWidth="1"/>
    <col min="5" max="5" width="11.26953125" customWidth="1"/>
  </cols>
  <sheetData>
    <row r="1" spans="1:8" ht="15.5" x14ac:dyDescent="0.35">
      <c r="A1" s="19" t="s">
        <v>100</v>
      </c>
      <c r="B1" s="19"/>
      <c r="C1" s="19"/>
      <c r="D1" s="19"/>
      <c r="E1" s="19"/>
    </row>
    <row r="2" spans="1:8" ht="15" thickBot="1" x14ac:dyDescent="0.4">
      <c r="A2" s="20" t="s">
        <v>48</v>
      </c>
      <c r="B2" s="22">
        <f>MAX(Relevantes!$2:$2)</f>
        <v>45199</v>
      </c>
      <c r="C2" s="22">
        <f>EOMONTH(B2,-3)</f>
        <v>45107</v>
      </c>
      <c r="D2" s="22">
        <f>EOMONTH(B2,-MONTH(B2))</f>
        <v>44926</v>
      </c>
      <c r="E2" s="22">
        <f>EOMONTH(B2,-12)</f>
        <v>44834</v>
      </c>
      <c r="F2" s="23" t="s">
        <v>207</v>
      </c>
      <c r="G2" s="23" t="s">
        <v>279</v>
      </c>
      <c r="H2" s="23" t="s">
        <v>208</v>
      </c>
    </row>
    <row r="3" spans="1:8" x14ac:dyDescent="0.35">
      <c r="A3" s="1" t="s">
        <v>101</v>
      </c>
      <c r="B3" s="1"/>
      <c r="C3" s="1"/>
      <c r="D3" s="1"/>
      <c r="E3" s="1"/>
      <c r="F3" s="3"/>
      <c r="G3" s="3"/>
      <c r="H3" s="3"/>
    </row>
    <row r="4" spans="1:8" ht="15" thickBot="1" x14ac:dyDescent="0.4">
      <c r="A4" s="44" t="s">
        <v>91</v>
      </c>
      <c r="B4" s="129">
        <v>13.696032000000001</v>
      </c>
      <c r="C4" s="129">
        <v>13.551696</v>
      </c>
      <c r="D4" s="129">
        <v>13.668885</v>
      </c>
      <c r="E4" s="129">
        <v>13.409507000000001</v>
      </c>
      <c r="F4" s="49">
        <f>(B4-C4)/C4</f>
        <v>1.0650770206179426E-2</v>
      </c>
      <c r="G4" s="49">
        <f>(B4-D4)/D4</f>
        <v>1.9860434848929624E-3</v>
      </c>
      <c r="H4" s="49">
        <f>(B4-E4)/E4</f>
        <v>2.1367303063416068E-2</v>
      </c>
    </row>
    <row r="5" spans="1:8" x14ac:dyDescent="0.35">
      <c r="A5" s="45" t="s">
        <v>92</v>
      </c>
      <c r="B5" s="130">
        <v>1723.3265241399999</v>
      </c>
      <c r="C5" s="130">
        <v>1906.9904828099995</v>
      </c>
      <c r="D5" s="130">
        <v>1924.0946004400002</v>
      </c>
      <c r="E5" s="130">
        <v>1937.9006819000001</v>
      </c>
      <c r="F5" s="50">
        <f t="shared" ref="F5:F13" si="0">(B5-C5)/C5</f>
        <v>-9.6310894220807033E-2</v>
      </c>
      <c r="G5" s="50">
        <f t="shared" ref="G5:G13" si="1">(B5-D5)/D5</f>
        <v>-0.1043441815460055</v>
      </c>
      <c r="H5" s="50">
        <f t="shared" ref="H5:H13" si="2">(B5-E5)/E5</f>
        <v>-0.11072505405675515</v>
      </c>
    </row>
    <row r="6" spans="1:8" x14ac:dyDescent="0.35">
      <c r="A6" s="1" t="s">
        <v>93</v>
      </c>
      <c r="B6" s="13">
        <v>822.27477356999975</v>
      </c>
      <c r="C6" s="13">
        <v>856.99195798999995</v>
      </c>
      <c r="D6" s="13">
        <v>898.78760043999989</v>
      </c>
      <c r="E6" s="13">
        <v>904.32068190000007</v>
      </c>
      <c r="F6" s="48">
        <f t="shared" si="0"/>
        <v>-4.0510513659225381E-2</v>
      </c>
      <c r="G6" s="48">
        <f t="shared" si="1"/>
        <v>-8.5128930163860098E-2</v>
      </c>
      <c r="H6" s="48">
        <f t="shared" si="2"/>
        <v>-9.0726564118405253E-2</v>
      </c>
    </row>
    <row r="7" spans="1:8" x14ac:dyDescent="0.35">
      <c r="A7" t="s">
        <v>94</v>
      </c>
      <c r="B7" s="12">
        <v>134.33628472000001</v>
      </c>
      <c r="C7" s="12">
        <v>125.13784673000001</v>
      </c>
      <c r="D7" s="12">
        <v>141.87999142000001</v>
      </c>
      <c r="E7" s="12">
        <v>144.03604880000003</v>
      </c>
      <c r="F7" s="77">
        <f t="shared" si="0"/>
        <v>7.3506442937656916E-2</v>
      </c>
      <c r="G7" s="77">
        <f t="shared" si="1"/>
        <v>-5.316963036506505E-2</v>
      </c>
      <c r="H7" s="77">
        <f t="shared" si="2"/>
        <v>-6.7342614302538545E-2</v>
      </c>
    </row>
    <row r="8" spans="1:8" x14ac:dyDescent="0.35">
      <c r="A8" t="s">
        <v>95</v>
      </c>
      <c r="B8" s="12">
        <v>544.86525190999976</v>
      </c>
      <c r="C8" s="12">
        <v>595.56844558</v>
      </c>
      <c r="D8" s="12">
        <v>612.86688289999995</v>
      </c>
      <c r="E8" s="12">
        <v>621.40443863999997</v>
      </c>
      <c r="F8" s="77">
        <f t="shared" si="0"/>
        <v>-8.513411690342737E-2</v>
      </c>
      <c r="G8" s="77">
        <f t="shared" si="1"/>
        <v>-0.11095660882870034</v>
      </c>
      <c r="H8" s="77">
        <f t="shared" si="2"/>
        <v>-0.12317129066138177</v>
      </c>
    </row>
    <row r="9" spans="1:8" x14ac:dyDescent="0.35">
      <c r="A9" t="s">
        <v>96</v>
      </c>
      <c r="B9" s="12">
        <v>143.07323694000002</v>
      </c>
      <c r="C9" s="12">
        <v>136.28566567999999</v>
      </c>
      <c r="D9" s="12">
        <v>144.04072611999996</v>
      </c>
      <c r="E9" s="12">
        <v>138.88019446000007</v>
      </c>
      <c r="F9" s="77">
        <f t="shared" si="0"/>
        <v>4.9803999753996887E-2</v>
      </c>
      <c r="G9" s="77">
        <f t="shared" si="1"/>
        <v>-6.7167752208769872E-3</v>
      </c>
      <c r="H9" s="77">
        <f t="shared" si="2"/>
        <v>3.0191795859038889E-2</v>
      </c>
    </row>
    <row r="10" spans="1:8" x14ac:dyDescent="0.35">
      <c r="A10" s="1" t="s">
        <v>97</v>
      </c>
      <c r="B10" s="13">
        <v>901.05175057000019</v>
      </c>
      <c r="C10" s="13">
        <v>1049.9985248199996</v>
      </c>
      <c r="D10" s="13">
        <v>1025.3070000000005</v>
      </c>
      <c r="E10" s="13">
        <v>1033.58</v>
      </c>
      <c r="F10" s="48">
        <f t="shared" si="0"/>
        <v>-0.14185427001007761</v>
      </c>
      <c r="G10" s="48">
        <f t="shared" si="1"/>
        <v>-0.12118833620564398</v>
      </c>
      <c r="H10" s="48">
        <f t="shared" si="2"/>
        <v>-0.12822253664931571</v>
      </c>
    </row>
    <row r="11" spans="1:8" x14ac:dyDescent="0.35">
      <c r="A11" s="16" t="s">
        <v>98</v>
      </c>
      <c r="B11" s="12">
        <v>854.72412594999798</v>
      </c>
      <c r="C11" s="12">
        <v>1001.9176871699999</v>
      </c>
      <c r="D11" s="12">
        <v>981.03201037000008</v>
      </c>
      <c r="E11" s="12">
        <v>985.69823306000023</v>
      </c>
      <c r="F11" s="77">
        <f t="shared" si="0"/>
        <v>-0.14691183028793756</v>
      </c>
      <c r="G11" s="77">
        <f t="shared" si="1"/>
        <v>-0.12875001333785691</v>
      </c>
      <c r="H11" s="77">
        <f t="shared" si="2"/>
        <v>-0.13287444647578034</v>
      </c>
    </row>
    <row r="12" spans="1:8" x14ac:dyDescent="0.35">
      <c r="A12" t="s">
        <v>99</v>
      </c>
      <c r="B12" s="12">
        <v>46.327624620002211</v>
      </c>
      <c r="C12" s="12">
        <v>48.08083764999968</v>
      </c>
      <c r="D12" s="12">
        <v>44.274989630000384</v>
      </c>
      <c r="E12" s="12">
        <v>47.881766939999693</v>
      </c>
      <c r="F12" s="77">
        <f t="shared" si="0"/>
        <v>-3.646386202253446E-2</v>
      </c>
      <c r="G12" s="77">
        <f t="shared" si="1"/>
        <v>4.636104959380901E-2</v>
      </c>
      <c r="H12" s="77">
        <f t="shared" si="2"/>
        <v>-3.2457914970952649E-2</v>
      </c>
    </row>
    <row r="13" spans="1:8" x14ac:dyDescent="0.35">
      <c r="A13" s="26" t="s">
        <v>102</v>
      </c>
      <c r="B13" s="30">
        <v>1737.02255614</v>
      </c>
      <c r="C13" s="30">
        <v>1920.5421788099995</v>
      </c>
      <c r="D13" s="30">
        <v>1937.7634854400003</v>
      </c>
      <c r="E13" s="30">
        <v>1951.3101889000002</v>
      </c>
      <c r="F13" s="51">
        <f t="shared" si="0"/>
        <v>-9.5556153202379243E-2</v>
      </c>
      <c r="G13" s="51">
        <f t="shared" si="1"/>
        <v>-0.10359413355052402</v>
      </c>
      <c r="H13" s="51">
        <f t="shared" si="2"/>
        <v>-0.10981730838027305</v>
      </c>
    </row>
    <row r="14" spans="1:8" ht="11.25" customHeight="1" x14ac:dyDescent="0.35">
      <c r="F14" s="25"/>
      <c r="G14" s="25"/>
      <c r="H14" s="25"/>
    </row>
    <row r="15" spans="1:8" x14ac:dyDescent="0.35">
      <c r="A15" s="1" t="s">
        <v>254</v>
      </c>
      <c r="B15" s="1"/>
      <c r="C15" s="1"/>
      <c r="D15" s="1"/>
      <c r="E15" s="1"/>
      <c r="F15" s="77"/>
      <c r="G15" s="77"/>
      <c r="H15" s="77"/>
    </row>
    <row r="16" spans="1:8" ht="15" thickBot="1" x14ac:dyDescent="0.4">
      <c r="A16" s="44" t="s">
        <v>91</v>
      </c>
      <c r="B16" s="49">
        <f>+B4/(B4+'Credito Performing'!B3)</f>
        <v>2.7501728512027796E-3</v>
      </c>
      <c r="C16" s="49">
        <f>+C4/(C4+'Credito Performing'!C3)</f>
        <v>2.6648419211105509E-3</v>
      </c>
      <c r="D16" s="49">
        <f>+D4/(D4+'Credito Performing'!D3)</f>
        <v>2.3645249619802153E-3</v>
      </c>
      <c r="E16" s="49">
        <f>+E4/(E4+'Credito Performing'!E3)</f>
        <v>2.2361128754104843E-3</v>
      </c>
      <c r="F16" s="67">
        <f t="shared" ref="F16:F25" si="3">(B16-C16)*100</f>
        <v>8.533093009222871E-3</v>
      </c>
      <c r="G16" s="67">
        <f>(B16-D16)*100</f>
        <v>3.8564788922256434E-2</v>
      </c>
      <c r="H16" s="67">
        <f>(B16-E16)*100</f>
        <v>5.1405997579229534E-2</v>
      </c>
    </row>
    <row r="17" spans="1:8" x14ac:dyDescent="0.35">
      <c r="A17" s="45" t="s">
        <v>92</v>
      </c>
      <c r="B17" s="50">
        <f>+B5/(B5+'Credito Performing'!B4)</f>
        <v>3.7228698779616556E-2</v>
      </c>
      <c r="C17" s="50">
        <f>+C5/(C5+'Credito Performing'!C4)</f>
        <v>3.9674670743626746E-2</v>
      </c>
      <c r="D17" s="50">
        <f>+D5/(D5+'Credito Performing'!D4)</f>
        <v>3.9179170792472413E-2</v>
      </c>
      <c r="E17" s="50">
        <f>+E5/(E5+'Credito Performing'!E4)</f>
        <v>3.9310658674261444E-2</v>
      </c>
      <c r="F17" s="68">
        <f t="shared" si="3"/>
        <v>-0.24459719640101893</v>
      </c>
      <c r="G17" s="68">
        <f t="shared" ref="G17:G25" si="4">(B17-D17)*100</f>
        <v>-0.1950472012855857</v>
      </c>
      <c r="H17" s="68">
        <f t="shared" ref="H17:H25" si="5">(B17-E17)*100</f>
        <v>-0.20819598946448872</v>
      </c>
    </row>
    <row r="18" spans="1:8" x14ac:dyDescent="0.35">
      <c r="A18" s="1" t="s">
        <v>93</v>
      </c>
      <c r="B18" s="48">
        <f>+B6/(B6+'Credito Performing'!B5)</f>
        <v>6.9271788417235677E-2</v>
      </c>
      <c r="C18" s="48">
        <f>+C6/(C6+'Credito Performing'!C5)</f>
        <v>6.9782655171770014E-2</v>
      </c>
      <c r="D18" s="48">
        <f>+D6/(D6+'Credito Performing'!D5)</f>
        <v>6.6119318684470005E-2</v>
      </c>
      <c r="E18" s="48">
        <f>+E6/(E6+'Credito Performing'!E5)</f>
        <v>6.5199474457993206E-2</v>
      </c>
      <c r="F18" s="69">
        <f t="shared" si="3"/>
        <v>-5.108667545343365E-2</v>
      </c>
      <c r="G18" s="69">
        <f t="shared" si="4"/>
        <v>0.31524697327656725</v>
      </c>
      <c r="H18" s="69">
        <f t="shared" si="5"/>
        <v>0.40723139592424712</v>
      </c>
    </row>
    <row r="19" spans="1:8" x14ac:dyDescent="0.35">
      <c r="A19" t="s">
        <v>94</v>
      </c>
      <c r="B19" s="77">
        <f>+B7/(B7+'Credito Performing'!B6)</f>
        <v>0.20576529805925126</v>
      </c>
      <c r="C19" s="77">
        <f>+C7/(C7+'Credito Performing'!C6)</f>
        <v>0.18687584069903548</v>
      </c>
      <c r="D19" s="77">
        <f>+D7/(D7+'Credito Performing'!D6)</f>
        <v>0.17638031771180171</v>
      </c>
      <c r="E19" s="77">
        <f>+E7/(E7+'Credito Performing'!E6)</f>
        <v>0.16466466128565896</v>
      </c>
      <c r="F19" s="70">
        <f t="shared" si="3"/>
        <v>1.8889457360215771</v>
      </c>
      <c r="G19" s="70">
        <f t="shared" si="4"/>
        <v>2.9384980347449545</v>
      </c>
      <c r="H19" s="70">
        <f t="shared" si="5"/>
        <v>4.1100636773592294</v>
      </c>
    </row>
    <row r="20" spans="1:8" x14ac:dyDescent="0.35">
      <c r="A20" t="s">
        <v>95</v>
      </c>
      <c r="B20" s="77">
        <f>+B8/(B8+'Credito Performing'!B7)</f>
        <v>9.4545945143945598E-2</v>
      </c>
      <c r="C20" s="77">
        <f>+C8/(C8+'Credito Performing'!C7)</f>
        <v>9.912390371340038E-2</v>
      </c>
      <c r="D20" s="77">
        <f>+D8/(D8+'Credito Performing'!D7)</f>
        <v>8.9521855098168776E-2</v>
      </c>
      <c r="E20" s="77">
        <f>+E8/(E8+'Credito Performing'!E7)</f>
        <v>8.7786898031955191E-2</v>
      </c>
      <c r="F20" s="70">
        <f t="shared" si="3"/>
        <v>-0.4577958569454782</v>
      </c>
      <c r="G20" s="70">
        <f t="shared" si="4"/>
        <v>0.50240900457768212</v>
      </c>
      <c r="H20" s="70">
        <f t="shared" si="5"/>
        <v>0.67590471119904072</v>
      </c>
    </row>
    <row r="21" spans="1:8" x14ac:dyDescent="0.35">
      <c r="A21" t="s">
        <v>96</v>
      </c>
      <c r="B21" s="77">
        <f>+B9/(B9+'Credito Performing'!B8)</f>
        <v>2.6230602999000048E-2</v>
      </c>
      <c r="C21" s="77">
        <f>+C9/(C9+'Credito Performing'!C8)</f>
        <v>2.432404554191047E-2</v>
      </c>
      <c r="D21" s="77">
        <f>+D9/(D9+'Credito Performing'!D8)</f>
        <v>2.4236966430206921E-2</v>
      </c>
      <c r="E21" s="77">
        <f>+E9/(E9+'Credito Performing'!E8)</f>
        <v>2.3472252138508592E-2</v>
      </c>
      <c r="F21" s="70">
        <f t="shared" si="3"/>
        <v>0.19065574570895777</v>
      </c>
      <c r="G21" s="70">
        <f t="shared" si="4"/>
        <v>0.19936365687931273</v>
      </c>
      <c r="H21" s="70">
        <f t="shared" si="5"/>
        <v>0.27583508604914553</v>
      </c>
    </row>
    <row r="22" spans="1:8" x14ac:dyDescent="0.35">
      <c r="A22" s="1" t="s">
        <v>97</v>
      </c>
      <c r="B22" s="48">
        <f>+B10/(B10+'Credito Performing'!B9)</f>
        <v>2.6178144229862175E-2</v>
      </c>
      <c r="C22" s="48">
        <f>+C10/(C10+'Credito Performing'!C9)</f>
        <v>2.9342011039989072E-2</v>
      </c>
      <c r="D22" s="48">
        <f>+D10/(D10+'Credito Performing'!D9)</f>
        <v>2.8868289139971887E-2</v>
      </c>
      <c r="E22" s="48">
        <f>+E10/(E10+'Credito Performing'!E9)</f>
        <v>2.9174907434351163E-2</v>
      </c>
      <c r="F22" s="69">
        <f t="shared" si="3"/>
        <v>-0.31638668101268974</v>
      </c>
      <c r="G22" s="69">
        <f t="shared" si="4"/>
        <v>-0.26901449101097119</v>
      </c>
      <c r="H22" s="69">
        <f t="shared" si="5"/>
        <v>-0.2996763204488988</v>
      </c>
    </row>
    <row r="23" spans="1:8" x14ac:dyDescent="0.35">
      <c r="A23" s="16" t="s">
        <v>98</v>
      </c>
      <c r="B23" s="77">
        <f>+B11/(B11+'Credito Performing'!B10)</f>
        <v>2.7138095032355612E-2</v>
      </c>
      <c r="C23" s="77">
        <f>+C11/(C11+'Credito Performing'!C10)</f>
        <v>3.1241992467807674E-2</v>
      </c>
      <c r="D23" s="77">
        <f>+D11/(D11+'Credito Performing'!D10)</f>
        <v>3.0094553596851231E-2</v>
      </c>
      <c r="E23" s="77">
        <f>+E11/(E11+'Credito Performing'!E10)</f>
        <v>3.0273170495080982E-2</v>
      </c>
      <c r="F23" s="70">
        <f t="shared" si="3"/>
        <v>-0.41038974354520619</v>
      </c>
      <c r="G23" s="70">
        <f t="shared" si="4"/>
        <v>-0.29564585644956187</v>
      </c>
      <c r="H23" s="70">
        <f t="shared" si="5"/>
        <v>-0.31350754627253696</v>
      </c>
    </row>
    <row r="24" spans="1:8" x14ac:dyDescent="0.35">
      <c r="A24" t="s">
        <v>99</v>
      </c>
      <c r="B24" s="77">
        <f>+B12/(B12+'Credito Performing'!B11)</f>
        <v>1.5840458937672049E-2</v>
      </c>
      <c r="C24" s="77">
        <f>+C12/(C12+'Credito Performing'!C11)</f>
        <v>1.2941535203602646E-2</v>
      </c>
      <c r="D24" s="77">
        <f>+D12/(D12+'Credito Performing'!D11)</f>
        <v>1.5170991218042633E-2</v>
      </c>
      <c r="E24" s="77">
        <f>+E12/(E12+'Credito Performing'!E11)</f>
        <v>1.6701620864418735E-2</v>
      </c>
      <c r="F24" s="70">
        <f t="shared" si="3"/>
        <v>0.28989237340694035</v>
      </c>
      <c r="G24" s="70">
        <f t="shared" si="4"/>
        <v>6.6946771962941687E-2</v>
      </c>
      <c r="H24" s="70">
        <f t="shared" si="5"/>
        <v>-8.6116192674668551E-2</v>
      </c>
    </row>
    <row r="25" spans="1:8" x14ac:dyDescent="0.35">
      <c r="A25" s="26" t="s">
        <v>278</v>
      </c>
      <c r="B25" s="51">
        <f>+B13/(B13+'Credito Performing'!B12)</f>
        <v>3.3879681962709594E-2</v>
      </c>
      <c r="C25" s="51">
        <f>+C13/(C13+'Credito Performing'!C12)</f>
        <v>3.6133658996059505E-2</v>
      </c>
      <c r="D25" s="51">
        <f>+D13/(D13+'Credito Performing'!D12)</f>
        <v>3.5302052901297801E-2</v>
      </c>
      <c r="E25" s="51">
        <f>+E13/(E13+'Credito Performing'!E12)</f>
        <v>3.5289808275378066E-2</v>
      </c>
      <c r="F25" s="71">
        <f t="shared" si="3"/>
        <v>-0.22539770333499104</v>
      </c>
      <c r="G25" s="71">
        <f t="shared" si="4"/>
        <v>-0.14223709385882063</v>
      </c>
      <c r="H25" s="71">
        <f t="shared" si="5"/>
        <v>-0.14101263126684721</v>
      </c>
    </row>
    <row r="26" spans="1:8" ht="11.25" customHeight="1" x14ac:dyDescent="0.35">
      <c r="F26" s="25"/>
      <c r="G26" s="25"/>
      <c r="H26" s="25"/>
    </row>
    <row r="27" spans="1:8" x14ac:dyDescent="0.35">
      <c r="A27" s="1" t="s">
        <v>103</v>
      </c>
      <c r="B27" s="1"/>
      <c r="C27" s="1"/>
      <c r="D27" s="1"/>
      <c r="E27" s="1"/>
      <c r="F27" s="77"/>
      <c r="G27" s="77"/>
      <c r="H27" s="77"/>
    </row>
    <row r="28" spans="1:8" ht="15" thickBot="1" x14ac:dyDescent="0.4">
      <c r="A28" s="44" t="s">
        <v>91</v>
      </c>
      <c r="B28" s="41">
        <v>12.167260000000001</v>
      </c>
      <c r="C28" s="41">
        <v>12.066033000000001</v>
      </c>
      <c r="D28" s="41">
        <v>12.153912</v>
      </c>
      <c r="E28" s="41">
        <v>8.0205710000000003</v>
      </c>
      <c r="F28" s="49">
        <f t="shared" ref="F28:F37" si="6">(B28-C28)/C28</f>
        <v>8.3894184608976057E-3</v>
      </c>
      <c r="G28" s="49">
        <f>(B28-D28)/D28</f>
        <v>1.0982472145594424E-3</v>
      </c>
      <c r="H28" s="49">
        <f t="shared" ref="H28:H37" si="7">(B28-E28)/E28</f>
        <v>0.51700670687909878</v>
      </c>
    </row>
    <row r="29" spans="1:8" x14ac:dyDescent="0.35">
      <c r="A29" s="45" t="s">
        <v>92</v>
      </c>
      <c r="B29" s="46">
        <v>1130.11318521</v>
      </c>
      <c r="C29" s="46">
        <v>1251.98383915</v>
      </c>
      <c r="D29" s="46">
        <v>1277.1932850900002</v>
      </c>
      <c r="E29" s="46">
        <v>1254.8244546200008</v>
      </c>
      <c r="F29" s="50">
        <f t="shared" si="6"/>
        <v>-9.7342034400971778E-2</v>
      </c>
      <c r="G29" s="50">
        <f t="shared" ref="G29:G37" si="8">(B29-D29)/D29</f>
        <v>-0.11515884212438209</v>
      </c>
      <c r="H29" s="50">
        <f t="shared" si="7"/>
        <v>-9.9385431126114906E-2</v>
      </c>
    </row>
    <row r="30" spans="1:8" x14ac:dyDescent="0.35">
      <c r="A30" s="1" t="s">
        <v>93</v>
      </c>
      <c r="B30" s="13">
        <v>649.01693636000005</v>
      </c>
      <c r="C30" s="13">
        <v>678.75582529000008</v>
      </c>
      <c r="D30" s="13">
        <v>719.07849721000684</v>
      </c>
      <c r="E30" s="13">
        <v>661.57378064000079</v>
      </c>
      <c r="F30" s="48">
        <f t="shared" si="6"/>
        <v>-4.3813824974973908E-2</v>
      </c>
      <c r="G30" s="48">
        <f t="shared" si="8"/>
        <v>-9.7432423750456451E-2</v>
      </c>
      <c r="H30" s="48">
        <f t="shared" si="7"/>
        <v>-1.8980262893510326E-2</v>
      </c>
    </row>
    <row r="31" spans="1:8" x14ac:dyDescent="0.35">
      <c r="A31" t="s">
        <v>94</v>
      </c>
      <c r="B31" s="12">
        <v>92.87974263000001</v>
      </c>
      <c r="C31" s="12">
        <v>91.091491279999985</v>
      </c>
      <c r="D31" s="12">
        <v>93.744664270000015</v>
      </c>
      <c r="E31" s="12">
        <v>93.056672549999988</v>
      </c>
      <c r="F31" s="77">
        <f t="shared" si="6"/>
        <v>1.9631376376342762E-2</v>
      </c>
      <c r="G31" s="77">
        <f t="shared" si="8"/>
        <v>-9.2263559396712908E-3</v>
      </c>
      <c r="H31" s="77">
        <f t="shared" si="7"/>
        <v>-1.901313631270366E-3</v>
      </c>
    </row>
    <row r="32" spans="1:8" x14ac:dyDescent="0.35">
      <c r="A32" t="s">
        <v>95</v>
      </c>
      <c r="B32" s="12">
        <v>414.51438809000001</v>
      </c>
      <c r="C32" s="12">
        <v>440.97311856000005</v>
      </c>
      <c r="D32" s="12">
        <v>478.90235340000675</v>
      </c>
      <c r="E32" s="12">
        <v>427.07285356000079</v>
      </c>
      <c r="F32" s="77">
        <f t="shared" si="6"/>
        <v>-6.0000778633403216E-2</v>
      </c>
      <c r="G32" s="77">
        <f t="shared" si="8"/>
        <v>-0.13444904760412862</v>
      </c>
      <c r="H32" s="77">
        <f t="shared" si="7"/>
        <v>-2.9405909004320278E-2</v>
      </c>
    </row>
    <row r="33" spans="1:8" x14ac:dyDescent="0.35">
      <c r="A33" t="s">
        <v>96</v>
      </c>
      <c r="B33" s="12">
        <v>141.62280564</v>
      </c>
      <c r="C33" s="12">
        <v>146.69121545000004</v>
      </c>
      <c r="D33" s="12">
        <v>146.43147954</v>
      </c>
      <c r="E33" s="12">
        <v>141.44425452999999</v>
      </c>
      <c r="F33" s="77">
        <f t="shared" si="6"/>
        <v>-3.4551556440866937E-2</v>
      </c>
      <c r="G33" s="77">
        <f t="shared" si="8"/>
        <v>-3.2839072002181328E-2</v>
      </c>
      <c r="H33" s="77">
        <f t="shared" si="7"/>
        <v>1.262342614009327E-3</v>
      </c>
    </row>
    <row r="34" spans="1:8" x14ac:dyDescent="0.35">
      <c r="A34" s="1" t="s">
        <v>97</v>
      </c>
      <c r="B34" s="13">
        <v>481.09624884999999</v>
      </c>
      <c r="C34" s="13">
        <v>573.22801385999992</v>
      </c>
      <c r="D34" s="13">
        <v>558.1147878799934</v>
      </c>
      <c r="E34" s="13">
        <v>593.2506739800001</v>
      </c>
      <c r="F34" s="48">
        <f t="shared" si="6"/>
        <v>-0.16072446353346115</v>
      </c>
      <c r="G34" s="48">
        <f t="shared" si="8"/>
        <v>-0.13799766768866556</v>
      </c>
      <c r="H34" s="48">
        <f t="shared" si="7"/>
        <v>-0.18905064932767543</v>
      </c>
    </row>
    <row r="35" spans="1:8" x14ac:dyDescent="0.35">
      <c r="A35" s="16" t="s">
        <v>98</v>
      </c>
      <c r="B35" s="12">
        <v>458.63017080749785</v>
      </c>
      <c r="C35" s="12">
        <v>550.56775121753287</v>
      </c>
      <c r="D35" s="12">
        <v>524.03339281247793</v>
      </c>
      <c r="E35" s="12">
        <v>499.10403541247172</v>
      </c>
      <c r="F35" s="77">
        <f t="shared" si="6"/>
        <v>-0.16698686075732375</v>
      </c>
      <c r="G35" s="77">
        <f t="shared" si="8"/>
        <v>-0.12480735560373767</v>
      </c>
      <c r="H35" s="77">
        <f t="shared" si="7"/>
        <v>-8.1093042198156703E-2</v>
      </c>
    </row>
    <row r="36" spans="1:8" x14ac:dyDescent="0.35">
      <c r="A36" t="s">
        <v>99</v>
      </c>
      <c r="B36" s="12">
        <v>22.466078042502133</v>
      </c>
      <c r="C36" s="12">
        <v>22.660262642467021</v>
      </c>
      <c r="D36" s="12">
        <v>34.081395067515466</v>
      </c>
      <c r="E36" s="12">
        <v>94.146638567528342</v>
      </c>
      <c r="F36" s="77">
        <f t="shared" si="6"/>
        <v>-8.5693887590239989E-3</v>
      </c>
      <c r="G36" s="77">
        <f t="shared" si="8"/>
        <v>-0.34081107894801005</v>
      </c>
      <c r="H36" s="77">
        <f t="shared" si="7"/>
        <v>-0.76137142669849078</v>
      </c>
    </row>
    <row r="37" spans="1:8" x14ac:dyDescent="0.35">
      <c r="A37" s="26" t="s">
        <v>104</v>
      </c>
      <c r="B37" s="30">
        <v>1142.2804452099999</v>
      </c>
      <c r="C37" s="30">
        <v>1264.0498721500001</v>
      </c>
      <c r="D37" s="30">
        <v>1289.3471970900002</v>
      </c>
      <c r="E37" s="30">
        <v>1262.8450256200008</v>
      </c>
      <c r="F37" s="51">
        <f t="shared" si="6"/>
        <v>-9.6332771058221509E-2</v>
      </c>
      <c r="G37" s="51">
        <f t="shared" si="8"/>
        <v>-0.114062955433512</v>
      </c>
      <c r="H37" s="51">
        <f t="shared" si="7"/>
        <v>-9.5470606419666593E-2</v>
      </c>
    </row>
    <row r="38" spans="1:8" ht="10.5" customHeight="1" x14ac:dyDescent="0.35">
      <c r="F38" s="77"/>
      <c r="G38" s="77"/>
      <c r="H38" s="77"/>
    </row>
    <row r="39" spans="1:8" x14ac:dyDescent="0.35">
      <c r="A39" s="1" t="s">
        <v>105</v>
      </c>
      <c r="B39" s="1"/>
      <c r="C39" s="1"/>
      <c r="D39" s="1"/>
      <c r="E39" s="1"/>
      <c r="F39" s="77"/>
      <c r="G39" s="77"/>
      <c r="H39" s="77"/>
    </row>
    <row r="40" spans="1:8" ht="15" thickBot="1" x14ac:dyDescent="0.4">
      <c r="A40" s="44" t="s">
        <v>91</v>
      </c>
      <c r="B40" s="49">
        <f t="shared" ref="B40:E41" si="9">+B28/B4</f>
        <v>0.88837847341478171</v>
      </c>
      <c r="C40" s="49">
        <f t="shared" si="9"/>
        <v>0.89037069603686514</v>
      </c>
      <c r="D40" s="49">
        <f t="shared" si="9"/>
        <v>0.88916630727378276</v>
      </c>
      <c r="E40" s="49">
        <f t="shared" si="9"/>
        <v>0.59812571782094592</v>
      </c>
      <c r="F40" s="67">
        <f t="shared" ref="F40:F49" si="10">(B40-C40)*100</f>
        <v>-0.19922226220834283</v>
      </c>
      <c r="G40" s="67">
        <f>(B40-D40)*100</f>
        <v>-7.8783385900105252E-2</v>
      </c>
      <c r="H40" s="67">
        <f t="shared" ref="H40:H49" si="11">(B40-E40)*100</f>
        <v>29.02527555938358</v>
      </c>
    </row>
    <row r="41" spans="1:8" x14ac:dyDescent="0.35">
      <c r="A41" s="45" t="s">
        <v>92</v>
      </c>
      <c r="B41" s="50">
        <f t="shared" si="9"/>
        <v>0.65577426528264338</v>
      </c>
      <c r="C41" s="50">
        <f t="shared" si="9"/>
        <v>0.65652338091649498</v>
      </c>
      <c r="D41" s="50">
        <f t="shared" si="9"/>
        <v>0.66378923614147289</v>
      </c>
      <c r="E41" s="50">
        <f t="shared" si="9"/>
        <v>0.64751742250780242</v>
      </c>
      <c r="F41" s="68">
        <f t="shared" si="10"/>
        <v>-7.4911563385160473E-2</v>
      </c>
      <c r="G41" s="68">
        <f t="shared" ref="G41:G49" si="12">(B41-D41)*100</f>
        <v>-0.80149708588295177</v>
      </c>
      <c r="H41" s="68">
        <f t="shared" si="11"/>
        <v>0.82568427748409556</v>
      </c>
    </row>
    <row r="42" spans="1:8" x14ac:dyDescent="0.35">
      <c r="A42" s="1" t="s">
        <v>93</v>
      </c>
      <c r="B42" s="48">
        <f t="shared" ref="B42:E42" si="13">+B30/B6</f>
        <v>0.78929447578966694</v>
      </c>
      <c r="C42" s="48">
        <f t="shared" si="13"/>
        <v>0.79202123072655528</v>
      </c>
      <c r="D42" s="48">
        <f t="shared" si="13"/>
        <v>0.80005386907650178</v>
      </c>
      <c r="E42" s="48">
        <f t="shared" si="13"/>
        <v>0.73156988873683393</v>
      </c>
      <c r="F42" s="69">
        <f t="shared" si="10"/>
        <v>-0.27267549368883426</v>
      </c>
      <c r="G42" s="69">
        <f t="shared" si="12"/>
        <v>-1.075939328683484</v>
      </c>
      <c r="H42" s="69">
        <f t="shared" si="11"/>
        <v>5.7724587052833005</v>
      </c>
    </row>
    <row r="43" spans="1:8" x14ac:dyDescent="0.35">
      <c r="A43" t="s">
        <v>94</v>
      </c>
      <c r="B43" s="77">
        <f t="shared" ref="B43:E43" si="14">+B31/B7</f>
        <v>0.69139728572657222</v>
      </c>
      <c r="C43" s="77">
        <f t="shared" si="14"/>
        <v>0.72792918897302794</v>
      </c>
      <c r="D43" s="77">
        <f t="shared" si="14"/>
        <v>0.66073209711785597</v>
      </c>
      <c r="E43" s="77">
        <f t="shared" si="14"/>
        <v>0.64606515747466109</v>
      </c>
      <c r="F43" s="70">
        <f t="shared" si="10"/>
        <v>-3.6531903246455721</v>
      </c>
      <c r="G43" s="70">
        <f t="shared" si="12"/>
        <v>3.0665188608716254</v>
      </c>
      <c r="H43" s="70">
        <f t="shared" si="11"/>
        <v>4.5332128251911126</v>
      </c>
    </row>
    <row r="44" spans="1:8" x14ac:dyDescent="0.35">
      <c r="A44" t="s">
        <v>95</v>
      </c>
      <c r="B44" s="77">
        <f t="shared" ref="B44:E44" si="15">+B32/B8</f>
        <v>0.76076495360447216</v>
      </c>
      <c r="C44" s="77">
        <f t="shared" si="15"/>
        <v>0.74042391236922256</v>
      </c>
      <c r="D44" s="77">
        <f t="shared" si="15"/>
        <v>0.78141333258848666</v>
      </c>
      <c r="E44" s="77">
        <f t="shared" si="15"/>
        <v>0.68727036210859471</v>
      </c>
      <c r="F44" s="70">
        <f t="shared" si="10"/>
        <v>2.0341041235249602</v>
      </c>
      <c r="G44" s="70">
        <f t="shared" si="12"/>
        <v>-2.0648378984014504</v>
      </c>
      <c r="H44" s="70">
        <f t="shared" si="11"/>
        <v>7.3494591495877444</v>
      </c>
    </row>
    <row r="45" spans="1:8" x14ac:dyDescent="0.35">
      <c r="A45" t="s">
        <v>96</v>
      </c>
      <c r="B45" s="77">
        <f t="shared" ref="B45:E45" si="16">+B33/B9</f>
        <v>0.98986231575505434</v>
      </c>
      <c r="C45" s="77">
        <f t="shared" si="16"/>
        <v>1.0763510213497609</v>
      </c>
      <c r="D45" s="77">
        <f t="shared" si="16"/>
        <v>1.0165977601224274</v>
      </c>
      <c r="E45" s="77">
        <f t="shared" si="16"/>
        <v>1.018462388247436</v>
      </c>
      <c r="F45" s="70">
        <f t="shared" si="10"/>
        <v>-8.6488705594706552</v>
      </c>
      <c r="G45" s="70">
        <f t="shared" si="12"/>
        <v>-2.6735444367373074</v>
      </c>
      <c r="H45" s="70">
        <f t="shared" si="11"/>
        <v>-2.8600072492381612</v>
      </c>
    </row>
    <row r="46" spans="1:8" x14ac:dyDescent="0.35">
      <c r="A46" s="1" t="s">
        <v>97</v>
      </c>
      <c r="B46" s="48">
        <f t="shared" ref="B46:E46" si="17">+B34/B10</f>
        <v>0.53392743374135976</v>
      </c>
      <c r="C46" s="48">
        <f t="shared" si="17"/>
        <v>0.54593220876978654</v>
      </c>
      <c r="D46" s="48">
        <f t="shared" si="17"/>
        <v>0.54433919585060198</v>
      </c>
      <c r="E46" s="48">
        <f t="shared" si="17"/>
        <v>0.57397654170939849</v>
      </c>
      <c r="F46" s="69">
        <f t="shared" si="10"/>
        <v>-1.2004775028426784</v>
      </c>
      <c r="G46" s="69">
        <f t="shared" si="12"/>
        <v>-1.0411762109242217</v>
      </c>
      <c r="H46" s="69">
        <f t="shared" si="11"/>
        <v>-4.0049107968038733</v>
      </c>
    </row>
    <row r="47" spans="1:8" x14ac:dyDescent="0.35">
      <c r="A47" s="16" t="s">
        <v>98</v>
      </c>
      <c r="B47" s="77">
        <f t="shared" ref="B47:E47" si="18">+B35/B11</f>
        <v>0.53658269011389537</v>
      </c>
      <c r="C47" s="77">
        <f t="shared" si="18"/>
        <v>0.54951395535561154</v>
      </c>
      <c r="D47" s="77">
        <f t="shared" si="18"/>
        <v>0.53416543728765453</v>
      </c>
      <c r="E47" s="77">
        <f t="shared" si="18"/>
        <v>0.50634567322196966</v>
      </c>
      <c r="F47" s="70">
        <f t="shared" si="10"/>
        <v>-1.2931265241716172</v>
      </c>
      <c r="G47" s="70">
        <f t="shared" si="12"/>
        <v>0.24172528262408344</v>
      </c>
      <c r="H47" s="70">
        <f t="shared" si="11"/>
        <v>3.0237016891925705</v>
      </c>
    </row>
    <row r="48" spans="1:8" x14ac:dyDescent="0.35">
      <c r="A48" t="s">
        <v>99</v>
      </c>
      <c r="B48" s="77">
        <f t="shared" ref="B48:E48" si="19">+B36/B12</f>
        <v>0.48493913138819289</v>
      </c>
      <c r="C48" s="77">
        <f t="shared" si="19"/>
        <v>0.4712950886467589</v>
      </c>
      <c r="D48" s="77">
        <f t="shared" si="19"/>
        <v>0.76976630265368107</v>
      </c>
      <c r="E48" s="77">
        <f t="shared" si="19"/>
        <v>1.9662315028077981</v>
      </c>
      <c r="F48" s="70">
        <f t="shared" si="10"/>
        <v>1.3644042741433993</v>
      </c>
      <c r="G48" s="70">
        <f t="shared" si="12"/>
        <v>-28.482717126548817</v>
      </c>
      <c r="H48" s="70">
        <f t="shared" si="11"/>
        <v>-148.12923714196052</v>
      </c>
    </row>
    <row r="49" spans="1:8" x14ac:dyDescent="0.35">
      <c r="A49" s="26" t="s">
        <v>106</v>
      </c>
      <c r="B49" s="51">
        <f t="shared" ref="B49:E49" si="20">+B37/B13</f>
        <v>0.65760829712445878</v>
      </c>
      <c r="C49" s="51">
        <f t="shared" si="20"/>
        <v>0.6581734502354053</v>
      </c>
      <c r="D49" s="51">
        <f t="shared" si="20"/>
        <v>0.66537903453022973</v>
      </c>
      <c r="E49" s="51">
        <f t="shared" si="20"/>
        <v>0.64717800009638471</v>
      </c>
      <c r="F49" s="71">
        <f t="shared" si="10"/>
        <v>-5.6515311094651466E-2</v>
      </c>
      <c r="G49" s="71">
        <f t="shared" si="12"/>
        <v>-0.77707374057709444</v>
      </c>
      <c r="H49" s="71">
        <f t="shared" si="11"/>
        <v>1.0430297028074076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5" sqref="E5"/>
    </sheetView>
  </sheetViews>
  <sheetFormatPr baseColWidth="10" defaultRowHeight="14.5" x14ac:dyDescent="0.35"/>
  <cols>
    <col min="1" max="1" width="32.7265625" customWidth="1"/>
    <col min="2" max="6" width="11.453125" customWidth="1"/>
    <col min="9" max="10" width="10.7265625" customWidth="1"/>
    <col min="11" max="11" width="8.54296875" customWidth="1"/>
  </cols>
  <sheetData>
    <row r="1" spans="1:9" ht="15.5" x14ac:dyDescent="0.35">
      <c r="A1" s="19" t="s">
        <v>107</v>
      </c>
      <c r="B1" s="136">
        <f>MAX(Relevantes!$2:$2)</f>
        <v>45199</v>
      </c>
      <c r="C1" s="136">
        <f>EOMONTH(B1,-3)</f>
        <v>45107</v>
      </c>
      <c r="D1" s="136">
        <f t="shared" ref="D1:F1" si="0">EOMONTH(C1,-3)</f>
        <v>45016</v>
      </c>
      <c r="E1" s="136">
        <f t="shared" si="0"/>
        <v>44926</v>
      </c>
      <c r="F1" s="136">
        <f t="shared" si="0"/>
        <v>44834</v>
      </c>
    </row>
    <row r="2" spans="1:9" ht="15" thickBot="1" x14ac:dyDescent="0.4">
      <c r="A2" s="20" t="s">
        <v>48</v>
      </c>
      <c r="B2" s="22" t="s">
        <v>281</v>
      </c>
      <c r="C2" s="22" t="s">
        <v>280</v>
      </c>
      <c r="D2" s="22" t="s">
        <v>268</v>
      </c>
      <c r="E2" s="22" t="s">
        <v>255</v>
      </c>
      <c r="F2" s="22" t="s">
        <v>226</v>
      </c>
    </row>
    <row r="3" spans="1:9" x14ac:dyDescent="0.35">
      <c r="A3" s="1" t="s">
        <v>108</v>
      </c>
      <c r="B3" s="1"/>
      <c r="C3" s="1"/>
      <c r="D3" s="2"/>
      <c r="E3" s="2"/>
      <c r="F3" s="2"/>
    </row>
    <row r="4" spans="1:9" x14ac:dyDescent="0.35">
      <c r="A4" s="33" t="s">
        <v>109</v>
      </c>
      <c r="B4" s="34">
        <f>+C7</f>
        <v>1920.5421788099995</v>
      </c>
      <c r="C4" s="34">
        <f>+D7</f>
        <v>1907.5164419299999</v>
      </c>
      <c r="D4" s="34">
        <f>+E7</f>
        <v>1937.7634854400005</v>
      </c>
      <c r="E4" s="34">
        <f t="shared" ref="E4" si="1">+F7</f>
        <v>1951.3101889000002</v>
      </c>
      <c r="F4" s="34">
        <v>1961.83549913</v>
      </c>
    </row>
    <row r="5" spans="1:9" x14ac:dyDescent="0.35">
      <c r="A5" t="s">
        <v>202</v>
      </c>
      <c r="B5" s="12">
        <v>91.352931299999995</v>
      </c>
      <c r="C5" s="12">
        <v>127.61578955000007</v>
      </c>
      <c r="D5" s="12">
        <v>108.97987379999978</v>
      </c>
      <c r="E5" s="12">
        <v>94.743625789999783</v>
      </c>
      <c r="F5" s="12">
        <v>119.2683770399999</v>
      </c>
    </row>
    <row r="6" spans="1:9" x14ac:dyDescent="0.35">
      <c r="A6" t="s">
        <v>112</v>
      </c>
      <c r="B6" s="12">
        <v>-274.87255397000064</v>
      </c>
      <c r="C6" s="12">
        <v>-114.59005266999992</v>
      </c>
      <c r="D6" s="12">
        <v>-139.22691730999964</v>
      </c>
      <c r="E6" s="12">
        <v>-108.28988700000002</v>
      </c>
      <c r="F6" s="74">
        <v>-129.7941295200001</v>
      </c>
    </row>
    <row r="7" spans="1:9" x14ac:dyDescent="0.35">
      <c r="A7" s="26" t="s">
        <v>110</v>
      </c>
      <c r="B7" s="30">
        <f>+'Dudosos (I)'!B13</f>
        <v>1737.02255614</v>
      </c>
      <c r="C7" s="30">
        <f>+'Dudosos (I)'!C13</f>
        <v>1920.5421788099995</v>
      </c>
      <c r="D7" s="30">
        <v>1907.5164419299999</v>
      </c>
      <c r="E7" s="30">
        <v>1937.7634854400005</v>
      </c>
      <c r="F7" s="30">
        <v>1951.3101889000002</v>
      </c>
    </row>
    <row r="8" spans="1:9" x14ac:dyDescent="0.35">
      <c r="F8" s="12"/>
      <c r="G8" s="12"/>
      <c r="H8" s="12"/>
    </row>
    <row r="9" spans="1:9" ht="15" customHeight="1" thickBot="1" x14ac:dyDescent="0.4">
      <c r="B9" s="22">
        <v>45199</v>
      </c>
      <c r="C9" s="22">
        <v>45107</v>
      </c>
      <c r="D9" s="22">
        <v>44926</v>
      </c>
      <c r="E9" s="22">
        <v>44834</v>
      </c>
      <c r="F9" s="22">
        <v>44742</v>
      </c>
      <c r="G9" s="22" t="s">
        <v>207</v>
      </c>
      <c r="H9" s="22" t="s">
        <v>279</v>
      </c>
      <c r="I9" s="22" t="s">
        <v>208</v>
      </c>
    </row>
    <row r="10" spans="1:9" x14ac:dyDescent="0.35">
      <c r="A10" s="105" t="s">
        <v>22</v>
      </c>
      <c r="B10" s="32">
        <v>0.38128940077363888</v>
      </c>
      <c r="C10" s="32">
        <v>0.40909076554315155</v>
      </c>
      <c r="D10" s="32">
        <v>0.42175052248233696</v>
      </c>
      <c r="E10" s="32">
        <v>0.42856944983082462</v>
      </c>
      <c r="F10" s="32">
        <v>0.46280156823915353</v>
      </c>
      <c r="G10" s="100">
        <f>(B10-C10)*100</f>
        <v>-2.7801364769512671</v>
      </c>
      <c r="H10" s="100">
        <f>(B10-D10)*100</f>
        <v>-4.0461121708698089</v>
      </c>
      <c r="I10" s="100">
        <f>(B10-E10)*100</f>
        <v>-4.7280049057185742</v>
      </c>
    </row>
    <row r="11" spans="1:9" x14ac:dyDescent="0.35">
      <c r="A11" s="106" t="s">
        <v>113</v>
      </c>
      <c r="B11" s="106"/>
      <c r="C11" s="106"/>
      <c r="D11" s="88"/>
      <c r="E11" s="88"/>
      <c r="F11" s="88"/>
      <c r="G11" s="88"/>
      <c r="H11" s="88"/>
    </row>
    <row r="13" spans="1:9" x14ac:dyDescent="0.35">
      <c r="F13" s="124"/>
      <c r="G13" s="124"/>
      <c r="H13" s="124"/>
    </row>
    <row r="62" spans="1:4" x14ac:dyDescent="0.35">
      <c r="A62" s="76"/>
      <c r="B62" s="76"/>
      <c r="C62" s="76"/>
      <c r="D62" s="76"/>
    </row>
  </sheetData>
  <pageMargins left="0.70866141732283472" right="0.70866141732283472" top="0.74803149606299213" bottom="0.74803149606299213" header="0.31496062992125984" footer="0.31496062992125984"/>
  <pageSetup paperSize="9" scale="62"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2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baseColWidth="10" defaultColWidth="10.7265625" defaultRowHeight="14.5" x14ac:dyDescent="0.35"/>
  <cols>
    <col min="1" max="1" width="52" customWidth="1"/>
    <col min="2" max="3" width="11.26953125" customWidth="1"/>
    <col min="4" max="4" width="10.81640625" bestFit="1" customWidth="1"/>
    <col min="5" max="5" width="11.26953125" customWidth="1"/>
    <col min="6" max="8" width="10.81640625" customWidth="1"/>
  </cols>
  <sheetData>
    <row r="1" spans="1:8" ht="15.5" x14ac:dyDescent="0.35">
      <c r="A1" s="19" t="s">
        <v>114</v>
      </c>
      <c r="B1" s="19"/>
      <c r="C1" s="19"/>
      <c r="D1" s="19"/>
      <c r="E1" s="19"/>
    </row>
    <row r="2" spans="1:8" ht="15" thickBot="1" x14ac:dyDescent="0.4">
      <c r="A2" s="20" t="s">
        <v>48</v>
      </c>
      <c r="B2" s="22">
        <v>45199</v>
      </c>
      <c r="C2" s="22">
        <v>45107</v>
      </c>
      <c r="D2" s="22">
        <v>44926</v>
      </c>
      <c r="E2" s="22">
        <v>44834</v>
      </c>
      <c r="F2" s="23" t="s">
        <v>207</v>
      </c>
      <c r="G2" s="23" t="s">
        <v>279</v>
      </c>
      <c r="H2" s="23" t="s">
        <v>208</v>
      </c>
    </row>
    <row r="3" spans="1:8" x14ac:dyDescent="0.35">
      <c r="A3" s="52" t="s">
        <v>115</v>
      </c>
      <c r="B3" s="52"/>
      <c r="C3" s="52"/>
      <c r="D3" s="52"/>
      <c r="E3" s="52"/>
      <c r="F3" s="77"/>
      <c r="G3" s="77"/>
      <c r="H3" s="77"/>
    </row>
    <row r="4" spans="1:8" x14ac:dyDescent="0.35">
      <c r="A4" s="4" t="s">
        <v>203</v>
      </c>
      <c r="B4" s="12">
        <v>256.90530766999791</v>
      </c>
      <c r="C4" s="12">
        <v>257.76254589999877</v>
      </c>
      <c r="D4" s="12">
        <v>251.02929013999724</v>
      </c>
      <c r="E4" s="12">
        <v>260.60395417000046</v>
      </c>
      <c r="F4" s="77">
        <v>-3.3256896459015924E-3</v>
      </c>
      <c r="G4" s="77">
        <v>2.3407696873634361E-2</v>
      </c>
      <c r="H4" s="77">
        <v>-1.4192595472246002E-2</v>
      </c>
    </row>
    <row r="5" spans="1:8" x14ac:dyDescent="0.35">
      <c r="A5" s="4" t="s">
        <v>204</v>
      </c>
      <c r="B5" s="12">
        <v>376.77496404999965</v>
      </c>
      <c r="C5" s="12">
        <v>445.09377377999783</v>
      </c>
      <c r="D5" s="12">
        <v>497.94917945999759</v>
      </c>
      <c r="E5" s="12">
        <v>551.41600875999723</v>
      </c>
      <c r="F5" s="77">
        <v>-0.15349306989804576</v>
      </c>
      <c r="G5" s="77">
        <v>-0.24334655103037958</v>
      </c>
      <c r="H5" s="77">
        <v>-0.31671377315055382</v>
      </c>
    </row>
    <row r="6" spans="1:8" x14ac:dyDescent="0.35">
      <c r="A6" s="4" t="s">
        <v>205</v>
      </c>
      <c r="B6" s="12">
        <v>788.73129698999787</v>
      </c>
      <c r="C6" s="12">
        <v>801.91860934999499</v>
      </c>
      <c r="D6" s="12">
        <v>867.61876448998987</v>
      </c>
      <c r="E6" s="12">
        <v>910.65374063999059</v>
      </c>
      <c r="F6" s="77">
        <v>-1.6444701751822745E-2</v>
      </c>
      <c r="G6" s="77">
        <v>-9.0924114056436092E-2</v>
      </c>
      <c r="H6" s="77">
        <v>-0.13388452515915422</v>
      </c>
    </row>
    <row r="7" spans="1:8" x14ac:dyDescent="0.35">
      <c r="A7" s="4" t="s">
        <v>206</v>
      </c>
      <c r="B7" s="12">
        <v>174.91627310000018</v>
      </c>
      <c r="C7" s="12">
        <v>193.48019393000007</v>
      </c>
      <c r="D7" s="12">
        <v>216.47132059000032</v>
      </c>
      <c r="E7" s="12">
        <v>164.06679445000009</v>
      </c>
      <c r="F7" s="77">
        <v>-9.5947396231762086E-2</v>
      </c>
      <c r="G7" s="77">
        <v>-0.19196560254143769</v>
      </c>
      <c r="H7" s="77">
        <v>6.6128424623463397E-2</v>
      </c>
    </row>
    <row r="8" spans="1:8" x14ac:dyDescent="0.35">
      <c r="A8" s="26" t="s">
        <v>116</v>
      </c>
      <c r="B8" s="30">
        <v>1597.3278418099956</v>
      </c>
      <c r="C8" s="30">
        <v>1698.2551229599917</v>
      </c>
      <c r="D8" s="30">
        <v>1833.068554679985</v>
      </c>
      <c r="E8" s="30">
        <v>1886.7404980199885</v>
      </c>
      <c r="F8" s="51">
        <v>-5.9429987747708871E-2</v>
      </c>
      <c r="G8" s="51">
        <v>-0.1286044170405535</v>
      </c>
      <c r="H8" s="51">
        <v>-0.15339293162664008</v>
      </c>
    </row>
    <row r="9" spans="1:8" x14ac:dyDescent="0.35">
      <c r="F9" s="77"/>
      <c r="G9" s="77"/>
      <c r="H9" s="77"/>
    </row>
    <row r="10" spans="1:8" x14ac:dyDescent="0.35">
      <c r="A10" s="1" t="s">
        <v>117</v>
      </c>
      <c r="B10" s="52"/>
      <c r="C10" s="52"/>
      <c r="D10" s="52"/>
      <c r="E10" s="52"/>
      <c r="F10" s="77"/>
      <c r="G10" s="77"/>
      <c r="H10" s="77"/>
    </row>
    <row r="11" spans="1:8" x14ac:dyDescent="0.35">
      <c r="A11" s="4" t="s">
        <v>203</v>
      </c>
      <c r="B11" s="12">
        <v>173.76116740000023</v>
      </c>
      <c r="C11" s="12">
        <v>174.35987884000022</v>
      </c>
      <c r="D11" s="12">
        <v>175.28495806999905</v>
      </c>
      <c r="E11" s="12">
        <v>168.04108705000007</v>
      </c>
      <c r="F11" s="77">
        <v>-3.4337683874476098E-3</v>
      </c>
      <c r="G11" s="77">
        <v>-8.693219810625737E-3</v>
      </c>
      <c r="H11" s="77">
        <v>3.4039772358162433E-2</v>
      </c>
    </row>
    <row r="12" spans="1:8" x14ac:dyDescent="0.35">
      <c r="A12" s="4" t="s">
        <v>204</v>
      </c>
      <c r="B12" s="12">
        <v>218.9899462700009</v>
      </c>
      <c r="C12" s="12">
        <v>253.8068745100004</v>
      </c>
      <c r="D12" s="12">
        <v>283.17480346000173</v>
      </c>
      <c r="E12" s="12">
        <v>307.37174838999977</v>
      </c>
      <c r="F12" s="77">
        <v>-0.13717882270611095</v>
      </c>
      <c r="G12" s="77">
        <v>-0.22666161115237393</v>
      </c>
      <c r="H12" s="77">
        <v>-0.28754042160002996</v>
      </c>
    </row>
    <row r="13" spans="1:8" x14ac:dyDescent="0.35">
      <c r="A13" s="4" t="s">
        <v>205</v>
      </c>
      <c r="B13" s="12">
        <v>574.73561441000095</v>
      </c>
      <c r="C13" s="12">
        <v>564.89736790999905</v>
      </c>
      <c r="D13" s="12">
        <v>598.99694949999878</v>
      </c>
      <c r="E13" s="12">
        <v>641.25647250102077</v>
      </c>
      <c r="F13" s="77">
        <v>1.7415989273239729E-2</v>
      </c>
      <c r="G13" s="77">
        <v>-4.0503269858468416E-2</v>
      </c>
      <c r="H13" s="77">
        <v>-0.10373518388294152</v>
      </c>
    </row>
    <row r="14" spans="1:8" x14ac:dyDescent="0.35">
      <c r="A14" s="4" t="s">
        <v>206</v>
      </c>
      <c r="B14" s="12">
        <v>95.99924416000006</v>
      </c>
      <c r="C14" s="12">
        <v>108.79131092000011</v>
      </c>
      <c r="D14" s="12">
        <v>117.18552896999975</v>
      </c>
      <c r="E14" s="12">
        <v>79.915777019999965</v>
      </c>
      <c r="F14" s="77">
        <v>-0.11758353357288547</v>
      </c>
      <c r="G14" s="77">
        <v>-0.18079267121304302</v>
      </c>
      <c r="H14" s="77">
        <v>0.20125521817769473</v>
      </c>
    </row>
    <row r="15" spans="1:8" x14ac:dyDescent="0.35">
      <c r="A15" s="26" t="s">
        <v>118</v>
      </c>
      <c r="B15" s="30">
        <v>1063.4859722400022</v>
      </c>
      <c r="C15" s="30">
        <v>1101.8554321799998</v>
      </c>
      <c r="D15" s="30">
        <v>1174.6422399999992</v>
      </c>
      <c r="E15" s="30">
        <v>1196.5850849610206</v>
      </c>
      <c r="F15" s="51">
        <v>-3.4822589987222125E-2</v>
      </c>
      <c r="G15" s="51">
        <v>-9.462989153190772E-2</v>
      </c>
      <c r="H15" s="51">
        <v>-0.11123246845865054</v>
      </c>
    </row>
    <row r="16" spans="1:8" x14ac:dyDescent="0.35">
      <c r="B16" s="25"/>
      <c r="C16" s="25"/>
      <c r="D16" s="25"/>
      <c r="E16" s="25"/>
      <c r="F16" s="77"/>
      <c r="G16" s="77"/>
      <c r="H16" s="77"/>
    </row>
    <row r="17" spans="1:8" x14ac:dyDescent="0.35">
      <c r="A17" s="1" t="s">
        <v>119</v>
      </c>
      <c r="B17" s="52"/>
      <c r="C17" s="52"/>
      <c r="D17" s="52"/>
      <c r="E17" s="52"/>
      <c r="F17" s="77"/>
      <c r="G17" s="77"/>
      <c r="H17" s="77"/>
    </row>
    <row r="18" spans="1:8" x14ac:dyDescent="0.35">
      <c r="A18" s="4" t="s">
        <v>203</v>
      </c>
      <c r="B18" s="25">
        <v>0.67636269945501215</v>
      </c>
      <c r="C18" s="25">
        <v>0.67643605175922128</v>
      </c>
      <c r="D18" s="25">
        <v>0.69826496331262333</v>
      </c>
      <c r="E18" s="25">
        <v>0.6448140343272819</v>
      </c>
      <c r="F18" s="70">
        <v>-7.335230420912886E-3</v>
      </c>
      <c r="G18" s="70">
        <v>-2.1902263857611182</v>
      </c>
      <c r="H18" s="70">
        <v>3.1548665127730247</v>
      </c>
    </row>
    <row r="19" spans="1:8" x14ac:dyDescent="0.35">
      <c r="A19" s="4" t="s">
        <v>204</v>
      </c>
      <c r="B19" s="25">
        <v>0.58122212770204129</v>
      </c>
      <c r="C19" s="25">
        <v>0.57023236329397131</v>
      </c>
      <c r="D19" s="25">
        <v>0.56868213693431813</v>
      </c>
      <c r="E19" s="25">
        <v>0.55742260563164525</v>
      </c>
      <c r="F19" s="70">
        <v>1.098976440806998</v>
      </c>
      <c r="G19" s="70">
        <v>1.2539990767723164</v>
      </c>
      <c r="H19" s="70">
        <v>2.379952207039604</v>
      </c>
    </row>
    <row r="20" spans="1:8" x14ac:dyDescent="0.35">
      <c r="A20" s="4" t="s">
        <v>205</v>
      </c>
      <c r="B20" s="25">
        <v>0.72868366781353844</v>
      </c>
      <c r="C20" s="25">
        <v>0.70443229689841413</v>
      </c>
      <c r="D20" s="25">
        <v>0.69039187949341507</v>
      </c>
      <c r="E20" s="25">
        <v>0.70417156805434922</v>
      </c>
      <c r="F20" s="70">
        <v>2.4251370915124304</v>
      </c>
      <c r="G20" s="70">
        <v>3.8291788320123366</v>
      </c>
      <c r="H20" s="70">
        <v>2.4512099759189221</v>
      </c>
    </row>
    <row r="21" spans="1:8" x14ac:dyDescent="0.35">
      <c r="A21" s="4" t="s">
        <v>206</v>
      </c>
      <c r="B21" s="25">
        <v>0.54882969124957859</v>
      </c>
      <c r="C21" s="25">
        <v>0.56228655093947311</v>
      </c>
      <c r="D21" s="25">
        <v>0.54134436215664228</v>
      </c>
      <c r="E21" s="25">
        <v>0.48709293850654567</v>
      </c>
      <c r="F21" s="70">
        <v>-1.3456859689894518</v>
      </c>
      <c r="G21" s="70">
        <v>0.74853290929363103</v>
      </c>
      <c r="H21" s="70">
        <v>6.1736752743032923</v>
      </c>
    </row>
    <row r="22" spans="1:8" x14ac:dyDescent="0.35">
      <c r="A22" s="26" t="s">
        <v>120</v>
      </c>
      <c r="B22" s="32">
        <v>0.66579066889294558</v>
      </c>
      <c r="C22" s="32">
        <v>0.64881619803949664</v>
      </c>
      <c r="D22" s="32">
        <v>0.64080649738987361</v>
      </c>
      <c r="E22" s="32">
        <v>0.63420755860000821</v>
      </c>
      <c r="F22" s="71">
        <v>1.6974470853448942</v>
      </c>
      <c r="G22" s="71">
        <v>2.4984171503071972</v>
      </c>
      <c r="H22" s="71">
        <v>3.1583110292937366</v>
      </c>
    </row>
  </sheetData>
  <pageMargins left="0.70866141732283472" right="0.70866141732283472" top="0.74803149606299213" bottom="0.74803149606299213" header="0.31496062992125984" footer="0.31496062992125984"/>
  <pageSetup paperSize="9" scale="58" orientation="portrait" horizontalDpi="4294967294" verticalDpi="4294967294" r:id="rId1"/>
  <drawing r:id="rId2"/>
</worksheet>
</file>

<file path=docMetadata/LabelInfo.xml><?xml version="1.0" encoding="utf-8"?>
<clbl:labelList xmlns:clbl="http://schemas.microsoft.com/office/2020/mipLabelMetadata">
  <clbl:label id="{09af0433-28b2-4121-98b3-1dff823ab7d9}" enabled="1" method="Standard" siteId="{13c862a8-e750-476c-b911-b9ddf7af03a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MENU</vt:lpstr>
      <vt:lpstr>Relevantes</vt:lpstr>
      <vt:lpstr>Balance</vt:lpstr>
      <vt:lpstr>Recursos</vt:lpstr>
      <vt:lpstr>Credito Performing</vt:lpstr>
      <vt:lpstr>Riesgo de crédito por Stage</vt:lpstr>
      <vt:lpstr>Dudosos (I)</vt:lpstr>
      <vt:lpstr>Dudosos (II)</vt:lpstr>
      <vt:lpstr>Adjudicados (I)</vt:lpstr>
      <vt:lpstr>Adjudicados (II)</vt:lpstr>
      <vt:lpstr>Resultados</vt:lpstr>
      <vt:lpstr>Rend &amp; Costes</vt:lpstr>
      <vt:lpstr>Comisiones</vt:lpstr>
      <vt:lpstr>Liquidez</vt:lpstr>
      <vt:lpstr>Solvencia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2021-07-27T10:28:31Z</dcterms:created>
  <dcterms:modified xsi:type="dcterms:W3CDTF">2023-10-28T06:08:38Z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