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filterPrivacy="1" defaultThemeVersion="124226"/>
  <xr:revisionPtr revIDLastSave="0" documentId="13_ncr:1_{04D6E14D-5406-4292-B357-0A755B464B3E}" xr6:coauthVersionLast="47" xr6:coauthVersionMax="47" xr10:uidLastSave="{00000000-0000-0000-0000-000000000000}"/>
  <bookViews>
    <workbookView xWindow="-110" yWindow="-110" windowWidth="19420" windowHeight="10420" tabRatio="976" firstSheet="2" activeTab="11" xr2:uid="{00000000-000D-0000-FFFF-FFFF00000000}"/>
  </bookViews>
  <sheets>
    <sheet name="MENU" sheetId="22" r:id="rId1"/>
    <sheet name="Relevantes" sheetId="2" r:id="rId2"/>
    <sheet name="Balance" sheetId="3" r:id="rId3"/>
    <sheet name="Recursos" sheetId="4" r:id="rId4"/>
    <sheet name="Credito Performing" sheetId="20" r:id="rId5"/>
    <sheet name="Riesgo de crédito por Stage" sheetId="23" r:id="rId6"/>
    <sheet name="Dudosos (I)" sheetId="21" r:id="rId7"/>
    <sheet name="Dudosos (II)" sheetId="10" r:id="rId8"/>
    <sheet name="Adjudicados (I)" sheetId="8" r:id="rId9"/>
    <sheet name="Adjudicados (II)" sheetId="11" r:id="rId10"/>
    <sheet name="Resultados" sheetId="9" r:id="rId11"/>
    <sheet name="Rend &amp; Costes" sheetId="12" r:id="rId12"/>
    <sheet name="Comisiones" sheetId="14" r:id="rId13"/>
    <sheet name="Liquidez" sheetId="17" r:id="rId14"/>
    <sheet name="Solvencia" sheetId="19" r:id="rId1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" i="9" l="1"/>
  <c r="B2" i="23"/>
  <c r="E2" i="23" s="1"/>
  <c r="B2" i="20"/>
  <c r="D2" i="20" s="1"/>
  <c r="D2" i="23"/>
  <c r="E2" i="2"/>
  <c r="D2" i="2"/>
  <c r="B2" i="21" s="1"/>
  <c r="C2" i="2"/>
  <c r="B3" i="19" s="1"/>
  <c r="B1" i="14"/>
  <c r="C1" i="14" s="1"/>
  <c r="D1" i="14" s="1"/>
  <c r="E1" i="14" s="1"/>
  <c r="F1" i="14" s="1"/>
  <c r="B1" i="11"/>
  <c r="C1" i="11" s="1"/>
  <c r="D1" i="11" s="1"/>
  <c r="E1" i="11" s="1"/>
  <c r="F1" i="11" s="1"/>
  <c r="D42" i="19"/>
  <c r="D44" i="19" s="1"/>
  <c r="D41" i="19"/>
  <c r="B44" i="19"/>
  <c r="E3" i="19" l="1"/>
  <c r="D3" i="19"/>
  <c r="C3" i="19"/>
  <c r="C2" i="21"/>
  <c r="E2" i="21"/>
  <c r="D2" i="21"/>
  <c r="B2" i="8"/>
  <c r="B1" i="12"/>
  <c r="B1" i="10"/>
  <c r="C1" i="10" s="1"/>
  <c r="D1" i="10" s="1"/>
  <c r="E1" i="10" s="1"/>
  <c r="F1" i="10" s="1"/>
  <c r="G1" i="10" s="1"/>
  <c r="E2" i="20"/>
  <c r="B2" i="3"/>
  <c r="B2" i="17"/>
  <c r="C2" i="20"/>
  <c r="B2" i="9"/>
  <c r="B28" i="9" s="1"/>
  <c r="C28" i="9" s="1"/>
  <c r="D28" i="9" s="1"/>
  <c r="E28" i="9" s="1"/>
  <c r="F28" i="9" s="1"/>
  <c r="C2" i="23"/>
  <c r="B2" i="4"/>
  <c r="H25" i="21"/>
  <c r="G25" i="21"/>
  <c r="F25" i="21"/>
  <c r="H24" i="21"/>
  <c r="G24" i="21"/>
  <c r="F24" i="21"/>
  <c r="H23" i="21"/>
  <c r="G23" i="21"/>
  <c r="F23" i="21"/>
  <c r="H22" i="21"/>
  <c r="G22" i="21"/>
  <c r="F22" i="21"/>
  <c r="H21" i="21"/>
  <c r="G21" i="21"/>
  <c r="F21" i="21"/>
  <c r="H20" i="21"/>
  <c r="G20" i="21"/>
  <c r="F20" i="21"/>
  <c r="H19" i="21"/>
  <c r="G19" i="21"/>
  <c r="F19" i="21"/>
  <c r="H18" i="21"/>
  <c r="G18" i="21"/>
  <c r="F18" i="21"/>
  <c r="H17" i="21"/>
  <c r="G17" i="21"/>
  <c r="F17" i="21"/>
  <c r="H16" i="21"/>
  <c r="G16" i="21"/>
  <c r="F16" i="21"/>
  <c r="E25" i="21"/>
  <c r="D25" i="21"/>
  <c r="C25" i="21"/>
  <c r="B25" i="21"/>
  <c r="E24" i="21"/>
  <c r="D24" i="21"/>
  <c r="C24" i="21"/>
  <c r="B24" i="21"/>
  <c r="E23" i="21"/>
  <c r="D23" i="21"/>
  <c r="C23" i="21"/>
  <c r="B23" i="21"/>
  <c r="E22" i="21"/>
  <c r="D22" i="21"/>
  <c r="C22" i="21"/>
  <c r="B22" i="21"/>
  <c r="E21" i="21"/>
  <c r="D21" i="21"/>
  <c r="C21" i="21"/>
  <c r="B21" i="21"/>
  <c r="E20" i="21"/>
  <c r="D20" i="21"/>
  <c r="C20" i="21"/>
  <c r="B20" i="21"/>
  <c r="E19" i="21"/>
  <c r="D19" i="21"/>
  <c r="C19" i="21"/>
  <c r="B19" i="21"/>
  <c r="E18" i="21"/>
  <c r="D18" i="21"/>
  <c r="C18" i="21"/>
  <c r="B18" i="21"/>
  <c r="E17" i="21"/>
  <c r="D17" i="21"/>
  <c r="C17" i="21"/>
  <c r="B17" i="21"/>
  <c r="C16" i="21"/>
  <c r="D16" i="21"/>
  <c r="E16" i="21"/>
  <c r="B16" i="21"/>
  <c r="E2" i="8" l="1"/>
  <c r="D2" i="8"/>
  <c r="C2" i="8"/>
  <c r="F1" i="12"/>
  <c r="D2" i="12"/>
  <c r="C2" i="12"/>
  <c r="B2" i="12"/>
  <c r="C2" i="4"/>
  <c r="D2" i="4"/>
  <c r="E2" i="4"/>
  <c r="C2" i="17"/>
  <c r="E2" i="17"/>
  <c r="D2" i="17"/>
  <c r="D2" i="3"/>
  <c r="C2" i="3"/>
  <c r="E2" i="3"/>
  <c r="F35" i="3"/>
  <c r="H33" i="3"/>
  <c r="G33" i="3"/>
  <c r="F33" i="3"/>
  <c r="C16" i="23"/>
  <c r="E18" i="23"/>
  <c r="D17" i="23"/>
  <c r="E17" i="23"/>
  <c r="E19" i="23"/>
  <c r="D16" i="23"/>
  <c r="D19" i="23"/>
  <c r="F2" i="12" l="1"/>
  <c r="H2" i="12"/>
  <c r="G2" i="12"/>
  <c r="J1" i="12"/>
  <c r="D18" i="23"/>
  <c r="E16" i="23"/>
  <c r="C17" i="23"/>
  <c r="C19" i="23"/>
  <c r="C18" i="23"/>
  <c r="L2" i="12" l="1"/>
  <c r="N1" i="12"/>
  <c r="K2" i="12"/>
  <c r="J2" i="12"/>
  <c r="H7" i="4"/>
  <c r="F7" i="4"/>
  <c r="G7" i="4"/>
  <c r="P2" i="12" l="1"/>
  <c r="O2" i="12"/>
  <c r="N2" i="12"/>
  <c r="R1" i="12"/>
  <c r="B34" i="3"/>
  <c r="B17" i="3"/>
  <c r="B30" i="3"/>
  <c r="R2" i="12" l="1"/>
  <c r="T2" i="12"/>
  <c r="S2" i="12"/>
  <c r="B35" i="3"/>
  <c r="B7" i="11" l="1"/>
  <c r="B7" i="10" l="1"/>
  <c r="F7" i="11" l="1"/>
  <c r="C7" i="11"/>
  <c r="B4" i="11" s="1"/>
  <c r="B8" i="11" s="1"/>
  <c r="I10" i="10"/>
  <c r="C7" i="10"/>
  <c r="B4" i="10" s="1"/>
  <c r="E10" i="4"/>
  <c r="C4" i="10" l="1"/>
  <c r="J5" i="14" l="1"/>
  <c r="J7" i="14"/>
  <c r="J9" i="14"/>
  <c r="J10" i="14"/>
  <c r="J11" i="14"/>
  <c r="J4" i="14" l="1"/>
  <c r="J3" i="14"/>
  <c r="J6" i="14"/>
  <c r="J8" i="14"/>
  <c r="C17" i="3"/>
  <c r="G10" i="10" l="1"/>
  <c r="F18" i="2"/>
  <c r="G18" i="2"/>
  <c r="H10" i="10" l="1"/>
  <c r="F32" i="17" l="1"/>
  <c r="F31" i="17"/>
  <c r="G32" i="17"/>
  <c r="G31" i="17"/>
  <c r="C10" i="17" l="1"/>
  <c r="H17" i="2"/>
  <c r="G17" i="2"/>
  <c r="F17" i="2"/>
  <c r="H46" i="2"/>
  <c r="G46" i="2"/>
  <c r="F46" i="2"/>
  <c r="H45" i="2"/>
  <c r="G45" i="2"/>
  <c r="F45" i="2"/>
  <c r="H44" i="2"/>
  <c r="G44" i="2"/>
  <c r="F44" i="2"/>
  <c r="F32" i="2"/>
  <c r="G32" i="2"/>
  <c r="H32" i="2"/>
  <c r="F33" i="2"/>
  <c r="G33" i="2"/>
  <c r="H33" i="2"/>
  <c r="F11" i="23" l="1"/>
  <c r="F10" i="23"/>
  <c r="F5" i="23"/>
  <c r="G4" i="23"/>
  <c r="F15" i="17" l="1"/>
  <c r="F25" i="17"/>
  <c r="F16" i="17"/>
  <c r="H32" i="17" l="1"/>
  <c r="H31" i="17"/>
  <c r="G25" i="17"/>
  <c r="F23" i="17"/>
  <c r="G23" i="17" s="1"/>
  <c r="F18" i="17"/>
  <c r="G18" i="17" s="1"/>
  <c r="F22" i="17"/>
  <c r="G22" i="17" s="1"/>
  <c r="F21" i="17"/>
  <c r="G21" i="17" s="1"/>
  <c r="F17" i="17"/>
  <c r="G17" i="17" s="1"/>
  <c r="G16" i="17"/>
  <c r="G15" i="17"/>
  <c r="H11" i="23" l="1"/>
  <c r="H10" i="23"/>
  <c r="B18" i="23" l="1"/>
  <c r="H5" i="23"/>
  <c r="B17" i="23" l="1"/>
  <c r="B16" i="23"/>
  <c r="F17" i="23" l="1"/>
  <c r="H17" i="23"/>
  <c r="G5" i="23" l="1"/>
  <c r="G11" i="23" l="1"/>
  <c r="G17" i="23"/>
  <c r="G10" i="23"/>
  <c r="G16" i="23"/>
  <c r="D30" i="3" l="1"/>
  <c r="D17" i="3"/>
  <c r="D34" i="3"/>
  <c r="D35" i="3" l="1"/>
  <c r="E34" i="3" l="1"/>
  <c r="C34" i="3"/>
  <c r="E30" i="3"/>
  <c r="E17" i="3"/>
  <c r="C30" i="3"/>
  <c r="E35" i="3" l="1"/>
  <c r="C35" i="3"/>
  <c r="F8" i="3" l="1"/>
  <c r="F14" i="3"/>
  <c r="H25" i="3"/>
  <c r="F16" i="3"/>
  <c r="F9" i="3"/>
  <c r="H19" i="3"/>
  <c r="G28" i="3"/>
  <c r="G27" i="3"/>
  <c r="H21" i="3"/>
  <c r="G29" i="3"/>
  <c r="F26" i="3"/>
  <c r="F11" i="3"/>
  <c r="F22" i="3"/>
  <c r="G31" i="3"/>
  <c r="G7" i="3"/>
  <c r="F10" i="3"/>
  <c r="H3" i="3"/>
  <c r="F12" i="3"/>
  <c r="G23" i="3"/>
  <c r="H32" i="3"/>
  <c r="H15" i="3"/>
  <c r="H4" i="3"/>
  <c r="G13" i="3"/>
  <c r="H24" i="3"/>
  <c r="G8" i="3"/>
  <c r="H8" i="3"/>
  <c r="G21" i="3"/>
  <c r="F21" i="3"/>
  <c r="G14" i="3"/>
  <c r="G3" i="3"/>
  <c r="F3" i="3"/>
  <c r="G12" i="3"/>
  <c r="G5" i="3"/>
  <c r="H5" i="3"/>
  <c r="F5" i="3"/>
  <c r="F24" i="3"/>
  <c r="H9" i="3" l="1"/>
  <c r="G9" i="3"/>
  <c r="G22" i="3"/>
  <c r="H22" i="3"/>
  <c r="F15" i="3"/>
  <c r="G32" i="3"/>
  <c r="F32" i="3"/>
  <c r="F27" i="3"/>
  <c r="G24" i="3"/>
  <c r="G15" i="3"/>
  <c r="H10" i="3"/>
  <c r="H9" i="2"/>
  <c r="G19" i="3"/>
  <c r="G4" i="3"/>
  <c r="F29" i="3"/>
  <c r="H29" i="3"/>
  <c r="H31" i="3"/>
  <c r="F4" i="3"/>
  <c r="F25" i="3"/>
  <c r="H13" i="3"/>
  <c r="G11" i="3"/>
  <c r="H26" i="3"/>
  <c r="G10" i="3"/>
  <c r="G25" i="3"/>
  <c r="H11" i="3"/>
  <c r="H12" i="3"/>
  <c r="F31" i="3"/>
  <c r="F19" i="3"/>
  <c r="H27" i="3"/>
  <c r="G34" i="3"/>
  <c r="H14" i="3"/>
  <c r="G16" i="3"/>
  <c r="H16" i="3"/>
  <c r="F13" i="3"/>
  <c r="G26" i="3"/>
  <c r="F28" i="3"/>
  <c r="H28" i="3"/>
  <c r="F6" i="3"/>
  <c r="H23" i="3"/>
  <c r="F7" i="3"/>
  <c r="H30" i="3"/>
  <c r="F23" i="3"/>
  <c r="H7" i="3"/>
  <c r="G9" i="2" l="1"/>
  <c r="F9" i="2"/>
  <c r="G30" i="3"/>
  <c r="F30" i="3"/>
  <c r="F10" i="2"/>
  <c r="H34" i="3"/>
  <c r="F20" i="3"/>
  <c r="H20" i="3"/>
  <c r="F34" i="3"/>
  <c r="G6" i="3"/>
  <c r="H6" i="3"/>
  <c r="G20" i="3"/>
  <c r="F17" i="3"/>
  <c r="H17" i="3"/>
  <c r="G17" i="3"/>
  <c r="H10" i="2" l="1"/>
  <c r="G10" i="2"/>
  <c r="G35" i="3"/>
  <c r="H4" i="2"/>
  <c r="H35" i="3"/>
  <c r="G4" i="2" l="1"/>
  <c r="F4" i="2"/>
  <c r="G10" i="14" l="1"/>
  <c r="G3" i="14" l="1"/>
  <c r="G11" i="14" l="1"/>
  <c r="F5" i="8" l="1"/>
  <c r="F13" i="8"/>
  <c r="D18" i="8"/>
  <c r="C19" i="8"/>
  <c r="F6" i="8"/>
  <c r="F11" i="8"/>
  <c r="H11" i="8"/>
  <c r="C18" i="8"/>
  <c r="E18" i="8"/>
  <c r="C20" i="8" l="1"/>
  <c r="G11" i="8"/>
  <c r="F14" i="8"/>
  <c r="H14" i="8"/>
  <c r="B21" i="8"/>
  <c r="G14" i="8"/>
  <c r="G15" i="8"/>
  <c r="G13" i="8"/>
  <c r="H13" i="8"/>
  <c r="B20" i="8"/>
  <c r="F15" i="8"/>
  <c r="H15" i="8"/>
  <c r="F12" i="8"/>
  <c r="H12" i="8"/>
  <c r="B19" i="8"/>
  <c r="G12" i="8"/>
  <c r="F7" i="8" l="1"/>
  <c r="C21" i="8"/>
  <c r="F21" i="8" s="1"/>
  <c r="D19" i="8"/>
  <c r="G19" i="8" s="1"/>
  <c r="G5" i="8"/>
  <c r="E20" i="8"/>
  <c r="H20" i="8" s="1"/>
  <c r="H6" i="8"/>
  <c r="C22" i="8"/>
  <c r="F20" i="8"/>
  <c r="E21" i="8"/>
  <c r="H21" i="8" s="1"/>
  <c r="H7" i="8"/>
  <c r="D21" i="8"/>
  <c r="G21" i="8" s="1"/>
  <c r="G7" i="8"/>
  <c r="D22" i="8"/>
  <c r="E19" i="8"/>
  <c r="H19" i="8" s="1"/>
  <c r="H5" i="8"/>
  <c r="F19" i="8"/>
  <c r="G4" i="8"/>
  <c r="F4" i="8"/>
  <c r="H4" i="8"/>
  <c r="B18" i="8"/>
  <c r="D20" i="8"/>
  <c r="G20" i="8" s="1"/>
  <c r="G6" i="8"/>
  <c r="E4" i="11" l="1"/>
  <c r="E8" i="11" s="1"/>
  <c r="C4" i="11"/>
  <c r="C8" i="11" s="1"/>
  <c r="E7" i="11"/>
  <c r="D4" i="11" s="1"/>
  <c r="D8" i="11" s="1"/>
  <c r="H18" i="8"/>
  <c r="F18" i="8"/>
  <c r="G18" i="8"/>
  <c r="E22" i="8"/>
  <c r="G8" i="8"/>
  <c r="F8" i="8"/>
  <c r="H8" i="8"/>
  <c r="B22" i="8"/>
  <c r="F8" i="11" l="1"/>
  <c r="G22" i="8"/>
  <c r="F22" i="8"/>
  <c r="H22" i="8"/>
  <c r="H22" i="2"/>
  <c r="G22" i="2"/>
  <c r="F22" i="2"/>
  <c r="H23" i="2" l="1"/>
  <c r="H26" i="2"/>
  <c r="F26" i="2"/>
  <c r="G26" i="2"/>
  <c r="F16" i="4" l="1"/>
  <c r="F17" i="4"/>
  <c r="F25" i="4" l="1"/>
  <c r="H16" i="4" l="1"/>
  <c r="H17" i="4"/>
  <c r="G16" i="4" l="1"/>
  <c r="G17" i="4" l="1"/>
  <c r="H25" i="4" l="1"/>
  <c r="G25" i="4" l="1"/>
  <c r="F18" i="4" l="1"/>
  <c r="H18" i="4"/>
  <c r="F15" i="4" l="1"/>
  <c r="G15" i="4"/>
  <c r="H15" i="4"/>
  <c r="H14" i="4"/>
  <c r="F14" i="4"/>
  <c r="F8" i="2" l="1"/>
  <c r="H8" i="2"/>
  <c r="H26" i="4"/>
  <c r="F26" i="4"/>
  <c r="G18" i="4" l="1"/>
  <c r="G26" i="4" l="1"/>
  <c r="G8" i="2"/>
  <c r="G14" i="4"/>
  <c r="F28" i="21" l="1"/>
  <c r="H28" i="21"/>
  <c r="G28" i="21"/>
  <c r="B19" i="23" l="1"/>
  <c r="B44" i="21" l="1"/>
  <c r="B45" i="21"/>
  <c r="B48" i="21"/>
  <c r="B47" i="21"/>
  <c r="B43" i="21"/>
  <c r="B46" i="21" l="1"/>
  <c r="B42" i="21"/>
  <c r="B41" i="21" l="1"/>
  <c r="B40" i="21" l="1"/>
  <c r="B49" i="21" l="1"/>
  <c r="H8" i="21" l="1"/>
  <c r="H9" i="21" l="1"/>
  <c r="G32" i="21" l="1"/>
  <c r="G31" i="21"/>
  <c r="G33" i="21"/>
  <c r="E45" i="21"/>
  <c r="H45" i="21" s="1"/>
  <c r="H33" i="21"/>
  <c r="H31" i="21"/>
  <c r="G35" i="21"/>
  <c r="E44" i="21"/>
  <c r="H44" i="21" s="1"/>
  <c r="H32" i="21"/>
  <c r="H35" i="21"/>
  <c r="G30" i="21" l="1"/>
  <c r="H30" i="21"/>
  <c r="H36" i="21" l="1"/>
  <c r="G36" i="21"/>
  <c r="F33" i="21" l="1"/>
  <c r="F31" i="21"/>
  <c r="F35" i="21"/>
  <c r="F32" i="21"/>
  <c r="G34" i="21"/>
  <c r="H34" i="21"/>
  <c r="F30" i="21" l="1"/>
  <c r="G29" i="21"/>
  <c r="H29" i="21"/>
  <c r="F12" i="21"/>
  <c r="G8" i="21" l="1"/>
  <c r="D44" i="21"/>
  <c r="G44" i="21" s="1"/>
  <c r="G7" i="21"/>
  <c r="D43" i="21"/>
  <c r="G43" i="21" s="1"/>
  <c r="G9" i="21"/>
  <c r="D45" i="21"/>
  <c r="G45" i="21" s="1"/>
  <c r="F8" i="21"/>
  <c r="C44" i="21"/>
  <c r="F44" i="21" s="1"/>
  <c r="F11" i="21"/>
  <c r="C47" i="21"/>
  <c r="F47" i="21" s="1"/>
  <c r="F9" i="21"/>
  <c r="C45" i="21"/>
  <c r="F45" i="21" s="1"/>
  <c r="H7" i="21"/>
  <c r="E43" i="21"/>
  <c r="H43" i="21" s="1"/>
  <c r="F7" i="21"/>
  <c r="C43" i="21"/>
  <c r="F43" i="21" s="1"/>
  <c r="F36" i="21"/>
  <c r="C48" i="21"/>
  <c r="F48" i="21" s="1"/>
  <c r="F10" i="21"/>
  <c r="G10" i="20" l="1"/>
  <c r="F10" i="20"/>
  <c r="H10" i="20"/>
  <c r="G6" i="21"/>
  <c r="D42" i="21"/>
  <c r="G42" i="21" s="1"/>
  <c r="F6" i="20"/>
  <c r="G6" i="20"/>
  <c r="H6" i="20"/>
  <c r="H6" i="21"/>
  <c r="E42" i="21"/>
  <c r="H42" i="21" s="1"/>
  <c r="F8" i="20"/>
  <c r="H8" i="20"/>
  <c r="G8" i="20"/>
  <c r="G12" i="21"/>
  <c r="D48" i="21"/>
  <c r="G48" i="21" s="1"/>
  <c r="G11" i="21"/>
  <c r="D47" i="21"/>
  <c r="G47" i="21" s="1"/>
  <c r="F7" i="20"/>
  <c r="G7" i="20"/>
  <c r="H7" i="20"/>
  <c r="F6" i="21"/>
  <c r="C42" i="21"/>
  <c r="F42" i="21" s="1"/>
  <c r="H13" i="23"/>
  <c r="C46" i="21"/>
  <c r="F46" i="21" s="1"/>
  <c r="F34" i="21"/>
  <c r="G3" i="20"/>
  <c r="F3" i="20"/>
  <c r="H3" i="20"/>
  <c r="G37" i="21"/>
  <c r="H27" i="2"/>
  <c r="H37" i="21"/>
  <c r="F5" i="21"/>
  <c r="C41" i="21" l="1"/>
  <c r="F41" i="21" s="1"/>
  <c r="F29" i="21"/>
  <c r="G13" i="23"/>
  <c r="G12" i="23"/>
  <c r="H12" i="23"/>
  <c r="G10" i="21" l="1"/>
  <c r="D46" i="21"/>
  <c r="G46" i="21" s="1"/>
  <c r="G5" i="21"/>
  <c r="D41" i="21"/>
  <c r="G41" i="21" s="1"/>
  <c r="G5" i="20"/>
  <c r="H5" i="20"/>
  <c r="F5" i="20"/>
  <c r="G4" i="21"/>
  <c r="D40" i="21"/>
  <c r="G40" i="21" s="1"/>
  <c r="F11" i="20"/>
  <c r="G11" i="20"/>
  <c r="H11" i="20"/>
  <c r="C40" i="21"/>
  <c r="F40" i="21" s="1"/>
  <c r="F4" i="21"/>
  <c r="E7" i="10" l="1"/>
  <c r="D4" i="10" s="1"/>
  <c r="F13" i="23"/>
  <c r="G9" i="20"/>
  <c r="F9" i="20"/>
  <c r="H9" i="20"/>
  <c r="F37" i="21"/>
  <c r="F13" i="21" l="1"/>
  <c r="F12" i="23"/>
  <c r="F18" i="23"/>
  <c r="H4" i="20"/>
  <c r="F4" i="20"/>
  <c r="G4" i="20"/>
  <c r="C49" i="21"/>
  <c r="F7" i="23"/>
  <c r="F5" i="2"/>
  <c r="F19" i="23"/>
  <c r="G6" i="23"/>
  <c r="G18" i="23"/>
  <c r="G13" i="21"/>
  <c r="D49" i="21"/>
  <c r="F6" i="23"/>
  <c r="G23" i="2" l="1"/>
  <c r="G27" i="2"/>
  <c r="H12" i="20"/>
  <c r="G12" i="20"/>
  <c r="F12" i="20"/>
  <c r="G7" i="23"/>
  <c r="G5" i="2"/>
  <c r="G19" i="23"/>
  <c r="F25" i="2"/>
  <c r="F49" i="21"/>
  <c r="G25" i="2"/>
  <c r="G49" i="21"/>
  <c r="G21" i="2"/>
  <c r="F24" i="2"/>
  <c r="F21" i="2"/>
  <c r="G24" i="2" l="1"/>
  <c r="F23" i="2"/>
  <c r="F27" i="2"/>
  <c r="F16" i="23"/>
  <c r="F4" i="23"/>
  <c r="F6" i="2"/>
  <c r="G6" i="2"/>
  <c r="H6" i="2"/>
  <c r="H11" i="21" l="1"/>
  <c r="E47" i="21"/>
  <c r="H47" i="21" s="1"/>
  <c r="H12" i="21"/>
  <c r="E48" i="21"/>
  <c r="H48" i="21" s="1"/>
  <c r="H10" i="21" l="1"/>
  <c r="E46" i="21"/>
  <c r="H46" i="21" s="1"/>
  <c r="H5" i="21" l="1"/>
  <c r="E41" i="21"/>
  <c r="H41" i="21" s="1"/>
  <c r="E40" i="21" l="1"/>
  <c r="H40" i="21" s="1"/>
  <c r="H4" i="21"/>
  <c r="F4" i="10" l="1"/>
  <c r="E4" i="10" l="1"/>
  <c r="H6" i="23"/>
  <c r="H18" i="23"/>
  <c r="H5" i="2"/>
  <c r="H7" i="23"/>
  <c r="H19" i="23"/>
  <c r="H13" i="21"/>
  <c r="E49" i="21"/>
  <c r="H25" i="2" l="1"/>
  <c r="H49" i="21"/>
  <c r="H16" i="23"/>
  <c r="H4" i="23"/>
  <c r="H24" i="2"/>
  <c r="H21" i="2"/>
  <c r="F13" i="4" l="1"/>
  <c r="F5" i="4"/>
  <c r="F12" i="4" l="1"/>
  <c r="F23" i="4"/>
  <c r="F22" i="4"/>
  <c r="F9" i="4"/>
  <c r="G4" i="14" l="1"/>
  <c r="G7" i="14"/>
  <c r="G5" i="14"/>
  <c r="G6" i="14"/>
  <c r="F28" i="2" l="1"/>
  <c r="G5" i="4" l="1"/>
  <c r="G22" i="4" l="1"/>
  <c r="G13" i="4" l="1"/>
  <c r="F4" i="17"/>
  <c r="G9" i="4"/>
  <c r="G12" i="4"/>
  <c r="G23" i="4" l="1"/>
  <c r="D18" i="9" l="1"/>
  <c r="E18" i="9" s="1"/>
  <c r="D17" i="9"/>
  <c r="E17" i="9" s="1"/>
  <c r="D22" i="9" l="1"/>
  <c r="E22" i="9" s="1"/>
  <c r="D13" i="9" l="1"/>
  <c r="E13" i="9" s="1"/>
  <c r="D7" i="9"/>
  <c r="E7" i="9" s="1"/>
  <c r="D10" i="9"/>
  <c r="E10" i="9" s="1"/>
  <c r="D6" i="9"/>
  <c r="E6" i="9" s="1"/>
  <c r="D8" i="9"/>
  <c r="E8" i="9" s="1"/>
  <c r="D20" i="9"/>
  <c r="E20" i="9" s="1"/>
  <c r="D14" i="9"/>
  <c r="E14" i="9" s="1"/>
  <c r="D15" i="9"/>
  <c r="E15" i="9" s="1"/>
  <c r="D3" i="9"/>
  <c r="E3" i="9" s="1"/>
  <c r="D4" i="9"/>
  <c r="E4" i="9" s="1"/>
  <c r="D9" i="9"/>
  <c r="E9" i="9" s="1"/>
  <c r="D12" i="9" l="1"/>
  <c r="E12" i="9" s="1"/>
  <c r="H13" i="2" l="1"/>
  <c r="D5" i="9"/>
  <c r="E5" i="9" s="1"/>
  <c r="H14" i="2" l="1"/>
  <c r="D11" i="9"/>
  <c r="E11" i="9" s="1"/>
  <c r="H15" i="2" l="1"/>
  <c r="D16" i="9"/>
  <c r="E16" i="9" s="1"/>
  <c r="D19" i="9"/>
  <c r="E19" i="9" s="1"/>
  <c r="D21" i="9" l="1"/>
  <c r="E21" i="9" s="1"/>
  <c r="H9" i="4"/>
  <c r="H12" i="4"/>
  <c r="H5" i="4"/>
  <c r="H13" i="4"/>
  <c r="H22" i="4" l="1"/>
  <c r="H23" i="4"/>
  <c r="D23" i="9"/>
  <c r="E23" i="9" s="1"/>
  <c r="D26" i="9" l="1"/>
  <c r="E26" i="9" s="1"/>
  <c r="H16" i="2"/>
  <c r="D25" i="9"/>
  <c r="E25" i="9" s="1"/>
  <c r="G8" i="14" l="1"/>
  <c r="G9" i="14" l="1"/>
  <c r="G28" i="2" l="1"/>
  <c r="F3" i="17"/>
  <c r="G3" i="17" s="1"/>
  <c r="F5" i="17" l="1"/>
  <c r="G5" i="17" s="1"/>
  <c r="H28" i="2" l="1"/>
  <c r="H8" i="4" l="1"/>
  <c r="H11" i="4"/>
  <c r="E10" i="17"/>
  <c r="H6" i="4" l="1"/>
  <c r="H10" i="4"/>
  <c r="H24" i="4"/>
  <c r="H4" i="4" l="1"/>
  <c r="H27" i="4"/>
  <c r="H21" i="4"/>
  <c r="H3" i="4" l="1"/>
  <c r="H19" i="4" l="1"/>
  <c r="H7" i="2"/>
  <c r="H20" i="4"/>
  <c r="F8" i="4" l="1"/>
  <c r="D10" i="17"/>
  <c r="G11" i="4"/>
  <c r="G8" i="4"/>
  <c r="F11" i="4"/>
  <c r="G6" i="4" l="1"/>
  <c r="G24" i="4"/>
  <c r="F6" i="4"/>
  <c r="G10" i="4"/>
  <c r="F24" i="4"/>
  <c r="F10" i="4"/>
  <c r="G21" i="4" l="1"/>
  <c r="G27" i="4"/>
  <c r="G4" i="4"/>
  <c r="F27" i="4"/>
  <c r="F4" i="4"/>
  <c r="F21" i="4"/>
  <c r="G3" i="4" l="1"/>
  <c r="F3" i="4"/>
  <c r="G7" i="2" l="1"/>
  <c r="G20" i="4"/>
  <c r="F7" i="2"/>
  <c r="F20" i="4"/>
  <c r="F19" i="4"/>
  <c r="G19" i="4"/>
  <c r="C41" i="19" l="1"/>
  <c r="C42" i="19" l="1"/>
  <c r="C44" i="19" s="1"/>
  <c r="E41" i="19" l="1"/>
  <c r="E42" i="19" l="1"/>
  <c r="E44" i="19" s="1"/>
  <c r="F6" i="17" l="1"/>
  <c r="G6" i="17" s="1"/>
  <c r="F7" i="17" l="1"/>
  <c r="G7" i="17" s="1"/>
  <c r="F8" i="17" l="1"/>
  <c r="G8" i="17" s="1"/>
  <c r="B10" i="17"/>
  <c r="F10" i="17" l="1"/>
  <c r="G10" i="17" s="1"/>
  <c r="F31" i="2" l="1"/>
  <c r="G31" i="2"/>
  <c r="H31" i="2"/>
</calcChain>
</file>

<file path=xl/sharedStrings.xml><?xml version="1.0" encoding="utf-8"?>
<sst xmlns="http://schemas.openxmlformats.org/spreadsheetml/2006/main" count="460" uniqueCount="283">
  <si>
    <t>LCR</t>
  </si>
  <si>
    <t>NSFR</t>
  </si>
  <si>
    <t>MENU</t>
  </si>
  <si>
    <t>Loan to deposits</t>
  </si>
  <si>
    <t>EVOLUCION TRIMESTRAL</t>
  </si>
  <si>
    <t>I.F.: Ingresos financieros</t>
  </si>
  <si>
    <t>C.F.: Costes financieros</t>
  </si>
  <si>
    <t>S.P.: Sector privado</t>
  </si>
  <si>
    <t>(*) I.F. Crédito a Clientes neto menos C.F. Depósitos de clientes</t>
  </si>
  <si>
    <t>RATIOS DE LIQUIDEZ</t>
  </si>
  <si>
    <t xml:space="preserve">1. Datos Relevantes </t>
  </si>
  <si>
    <t>2. Total Balance</t>
  </si>
  <si>
    <t>3. Recursos</t>
  </si>
  <si>
    <t>4. Crédito performing</t>
  </si>
  <si>
    <t>RESULTADOS</t>
  </si>
  <si>
    <t>DATOS RELEVANTES</t>
  </si>
  <si>
    <t>Millones de euros / % / pp</t>
  </si>
  <si>
    <t>BALANCE</t>
  </si>
  <si>
    <t>Recursos captados fuera de balance y seguros</t>
  </si>
  <si>
    <t>RESULTADOS (acumulado en el año)</t>
  </si>
  <si>
    <t>GESTIÓN DEL RIESGO</t>
  </si>
  <si>
    <t>LIQUIDEZ</t>
  </si>
  <si>
    <t>SOLVENCIA</t>
  </si>
  <si>
    <t>Ratio Texas</t>
  </si>
  <si>
    <t>OTROS DATOS</t>
  </si>
  <si>
    <t>Oficinas en España</t>
  </si>
  <si>
    <t>Cajeros</t>
  </si>
  <si>
    <t>RATIOS PHASE IN</t>
  </si>
  <si>
    <t>Millones € y %</t>
  </si>
  <si>
    <t>Recursos propios computables</t>
  </si>
  <si>
    <t>Capital de nivel I ordinario (BIS III)</t>
  </si>
  <si>
    <t>Capital</t>
  </si>
  <si>
    <t>Reservas</t>
  </si>
  <si>
    <t>Resultado atribuido al Grupo neto de dividendo</t>
  </si>
  <si>
    <t>Deducciones</t>
  </si>
  <si>
    <t>Otros (1)</t>
  </si>
  <si>
    <t>Capital de nivel I</t>
  </si>
  <si>
    <t>Capital de nivel II</t>
  </si>
  <si>
    <t>Activos ponderados por riesgo</t>
  </si>
  <si>
    <t>Capital de nivel I ordinario (BIS III) (%)</t>
  </si>
  <si>
    <t>Coeficiente de Solvencia - Ratio Total Capital (%)</t>
  </si>
  <si>
    <t>(1) autocartera, minoritarios y plusvalías en activos financieros en otro resultado global y período transitorio IFRS9</t>
  </si>
  <si>
    <t>RATIOS FULLY LOADED</t>
  </si>
  <si>
    <t>Otros (Autocartera, minoritarios y plusvalías otro rdo. Global)</t>
  </si>
  <si>
    <t>Phase in</t>
  </si>
  <si>
    <t>Capital de nivel I ordinario (%) - CET 1 proforma</t>
  </si>
  <si>
    <t>Total capital proforma (%)</t>
  </si>
  <si>
    <t>Requerimiento Pilar 1 + 2R + Conservación- Total Capital</t>
  </si>
  <si>
    <t>Exceso Total Capital  sobre requerimiento</t>
  </si>
  <si>
    <t>Millones de euros</t>
  </si>
  <si>
    <t>Efectivo y saldo efectivo en bancos centrales</t>
  </si>
  <si>
    <t>Activos financieros para negociar y con cambios en PyG</t>
  </si>
  <si>
    <t>Activos financieros con cambios en otro rdo. global</t>
  </si>
  <si>
    <t>Préstamos y anticipos a coste amortizado</t>
  </si>
  <si>
    <t>Préstamos y anticipos a bancos centrales y ent. crédito</t>
  </si>
  <si>
    <t>Préstamos y anticipos a la clientela</t>
  </si>
  <si>
    <t>Valores representativos de deuda a coste amortizado</t>
  </si>
  <si>
    <t>Derivados  y coberturas</t>
  </si>
  <si>
    <t>Inversiones en negocios conjuntos y asociados</t>
  </si>
  <si>
    <t>Activos tangibles</t>
  </si>
  <si>
    <t>Activos intangibles</t>
  </si>
  <si>
    <t>Activos por impuestos</t>
  </si>
  <si>
    <t>Otros activos</t>
  </si>
  <si>
    <t>Activos no corrientes en venta</t>
  </si>
  <si>
    <t>TOTAL ACTIVO</t>
  </si>
  <si>
    <t>Pasivos financieros para negociar y con cambios en PyG</t>
  </si>
  <si>
    <t>Pasivos financieros a coste amortizado</t>
  </si>
  <si>
    <t>Depósitos de la clientela</t>
  </si>
  <si>
    <t>Valores representativos de deuda emitidos</t>
  </si>
  <si>
    <t>Otros pasivos financieros</t>
  </si>
  <si>
    <t>Provisiones</t>
  </si>
  <si>
    <t>Pasivos por impuestos</t>
  </si>
  <si>
    <t>Otros pasivos</t>
  </si>
  <si>
    <t>TOTAL PASIVO</t>
  </si>
  <si>
    <t>Otro resultado global acumulado</t>
  </si>
  <si>
    <t>TOTAL PATRIMONIO NETO</t>
  </si>
  <si>
    <t>TOTAL PASIVO Y PATRIMONIO NETO</t>
  </si>
  <si>
    <t>RECURSOS</t>
  </si>
  <si>
    <t>Millones de euros. No incluye aj. valoración</t>
  </si>
  <si>
    <t>Total recursos de balance</t>
  </si>
  <si>
    <t>Administraciones públicas</t>
  </si>
  <si>
    <t>Sector privado</t>
  </si>
  <si>
    <t xml:space="preserve">    Depósitos a la vista</t>
  </si>
  <si>
    <t xml:space="preserve">    Depósitos a plazo</t>
  </si>
  <si>
    <t xml:space="preserve">    Cesión temporal de activos</t>
  </si>
  <si>
    <t>Emisiones</t>
  </si>
  <si>
    <t xml:space="preserve">  Cédulas hipotecarias</t>
  </si>
  <si>
    <t xml:space="preserve">  Otros valores</t>
  </si>
  <si>
    <t xml:space="preserve">  Pasivos subordinados</t>
  </si>
  <si>
    <t>Recursos fuera de balance y seguros</t>
  </si>
  <si>
    <t xml:space="preserve">      Fondos de inversión</t>
  </si>
  <si>
    <t xml:space="preserve">      Fondos de pensiones</t>
  </si>
  <si>
    <t xml:space="preserve">      Seguros de ahorro</t>
  </si>
  <si>
    <t xml:space="preserve">      Otros patrimonios gestionados</t>
  </si>
  <si>
    <t>TOTAL RECURSOS ADMINISTRADOS</t>
  </si>
  <si>
    <t>Recursos adm. de clientes (minoristas)</t>
  </si>
  <si>
    <t xml:space="preserve">    En balance</t>
  </si>
  <si>
    <t>Vista sector privado</t>
  </si>
  <si>
    <t>Plazo sector privado</t>
  </si>
  <si>
    <t>Otros</t>
  </si>
  <si>
    <t xml:space="preserve">    Fuera de balance y seguros</t>
  </si>
  <si>
    <t>Mercados</t>
  </si>
  <si>
    <t>CRÉDITO PERFORMING</t>
  </si>
  <si>
    <t>Crédito a Administraciones Públicas</t>
  </si>
  <si>
    <t>Crédito al Sector Privado</t>
  </si>
  <si>
    <t xml:space="preserve">  Empresas</t>
  </si>
  <si>
    <t xml:space="preserve">    Promoción y construcción inmobiliaria</t>
  </si>
  <si>
    <t xml:space="preserve">    Pymes y autónomos</t>
  </si>
  <si>
    <t xml:space="preserve">    Resto de empresas</t>
  </si>
  <si>
    <t xml:space="preserve">  Particulares</t>
  </si>
  <si>
    <t xml:space="preserve">    Garantía hipotecaria </t>
  </si>
  <si>
    <t xml:space="preserve">    Consumo y resto</t>
  </si>
  <si>
    <t>DUDOSOS</t>
  </si>
  <si>
    <t>EXPOSICIÓN BRUTA</t>
  </si>
  <si>
    <t>TOTAL SALDOS DUDOSOS</t>
  </si>
  <si>
    <t>DOTACIONES POR DETERIORO</t>
  </si>
  <si>
    <t>TOTAL DOTACIONES POR DETERIORO</t>
  </si>
  <si>
    <t>%COBERTURA</t>
  </si>
  <si>
    <t>TOTAL COBERTURA</t>
  </si>
  <si>
    <t>DUDOSOS (ii)</t>
  </si>
  <si>
    <t>2T 2021</t>
  </si>
  <si>
    <t>EVOLUCIÓN DUDOSOS</t>
  </si>
  <si>
    <t>Saldos dudosos al inicio del período</t>
  </si>
  <si>
    <t>Saldos dudosos al cierre del período</t>
  </si>
  <si>
    <t xml:space="preserve">Entradas </t>
  </si>
  <si>
    <t>Salidas</t>
  </si>
  <si>
    <t>Ratio Texas: Dudosos más adjudicados sobre capital más provisiones por insolvencias y adjudicados</t>
  </si>
  <si>
    <t>INMUEBLES ADJUDICADOS</t>
  </si>
  <si>
    <t>VALOR BRUTO</t>
  </si>
  <si>
    <t>TOTAL ACTIVOS INMOBILIARIOS ADJUDICADOS- Valor Bruto</t>
  </si>
  <si>
    <t>DETERIORO DE VALOR ACUMULADO</t>
  </si>
  <si>
    <t>TOTAL ACTIVOS INMOBILIARIOS ADJUDICADOS- Deterioro</t>
  </si>
  <si>
    <t>TASA DE COBERTURA (%)</t>
  </si>
  <si>
    <t>TOTAL ACTIVOS INMOBILIARIOS ADJUDICADOS- Cobertura</t>
  </si>
  <si>
    <t>INMUEBLES ADJUDICADOS (ii)</t>
  </si>
  <si>
    <t>EVOLUCIÓN ACTIVOS INMOBILIARIOS ADJUDICADOS</t>
  </si>
  <si>
    <t>Act. inmob. adjudicados al inicio del período</t>
  </si>
  <si>
    <t>Act. inmob. adjudicados al cierre del período</t>
  </si>
  <si>
    <t>%Salidas trimestre sobre adjudicados inicio ejercicio</t>
  </si>
  <si>
    <t>Variación interanual</t>
  </si>
  <si>
    <t>Importe</t>
  </si>
  <si>
    <t>%</t>
  </si>
  <si>
    <t>Ingresos por Intereses</t>
  </si>
  <si>
    <t>Gastos por Intereses</t>
  </si>
  <si>
    <t>MARGEN DE INTERESES</t>
  </si>
  <si>
    <t>Dividendos</t>
  </si>
  <si>
    <t>Resultados de EVPEMP</t>
  </si>
  <si>
    <t>Ingresos por comisiones menos gastos por comisiones</t>
  </si>
  <si>
    <t>Resultado de operaciones financieras y dif. Cambio</t>
  </si>
  <si>
    <t>Otros ingresos menos otros gastos de explotación y contratos de seguro</t>
  </si>
  <si>
    <t>MARGEN BRUTO</t>
  </si>
  <si>
    <t>Gastos de administración</t>
  </si>
  <si>
    <t>Gastos de personal</t>
  </si>
  <si>
    <t>Otros gastos generales de administración</t>
  </si>
  <si>
    <t>Amortización</t>
  </si>
  <si>
    <t>MARGEN DE EXPLOTACIÓN (antes de saneamientos)</t>
  </si>
  <si>
    <t>Provisiones / reversión</t>
  </si>
  <si>
    <t>Deterioro /reversión del valor de activos financieros</t>
  </si>
  <si>
    <t>RESULTADO DE LA ACTIVIDAD DE EXPLOTACIÓN</t>
  </si>
  <si>
    <t>Deterioro/reversión del valor del resto de act.  y otr. ganancias y pérdidas (neto)</t>
  </si>
  <si>
    <t>RESULTADO ANTES DE IMPUESTOS</t>
  </si>
  <si>
    <t>Impuesto sobre beneficios</t>
  </si>
  <si>
    <t>RESULTADO DEL EJERCICIO PROCEDENTE DE OPERACIONES CONTINUADAS</t>
  </si>
  <si>
    <t>Resultado de operaciones interrumpidas (neto)</t>
  </si>
  <si>
    <t>RESULTADO CONSOLIDADO DEL EJERCICIO</t>
  </si>
  <si>
    <t>RESULTADO ATRIBUIDO A LA ENTIDAD DOMINANTE</t>
  </si>
  <si>
    <t>Otros ingresos menos otros gastos de explotación y seguro</t>
  </si>
  <si>
    <t>RENDIMIENTOS Y COSTES</t>
  </si>
  <si>
    <t>Millones euros / %</t>
  </si>
  <si>
    <t>S.medio</t>
  </si>
  <si>
    <t>IF/CF</t>
  </si>
  <si>
    <t>Tipo(%)</t>
  </si>
  <si>
    <t>I.F. Intermed. Financieros y ATAs</t>
  </si>
  <si>
    <t>I.F. Cartera Renta Fija</t>
  </si>
  <si>
    <t>I.F. Crédito a Clientes neto</t>
  </si>
  <si>
    <t>I.F. Otros activos</t>
  </si>
  <si>
    <t>C.F.  Intermed. Financ. y CTAs</t>
  </si>
  <si>
    <t>C.F. Emisiones (incl.Ced. Singulares)</t>
  </si>
  <si>
    <t>C.F. Depósitos Clientes</t>
  </si>
  <si>
    <t>Del que: Vista S.P.</t>
  </si>
  <si>
    <t>Del que: Plazo S.P.</t>
  </si>
  <si>
    <t>C.F. Pasivos Subordinados</t>
  </si>
  <si>
    <t>C.F. otros pasivos</t>
  </si>
  <si>
    <t>TOTAL PASIVO Y P.N.</t>
  </si>
  <si>
    <t>MARGEN DE CLIENTES*</t>
  </si>
  <si>
    <t>COMISIONES</t>
  </si>
  <si>
    <t>COMISIONES PERCIBIDAS</t>
  </si>
  <si>
    <t>Por riesgos contingentes</t>
  </si>
  <si>
    <t>Por compromisos contingentes</t>
  </si>
  <si>
    <t>Por cambio de divisas y billetes de banco extranjeros</t>
  </si>
  <si>
    <t>Por servicio de cobros y pagos</t>
  </si>
  <si>
    <t>Por servicio de valores y productos financieros no bancarios</t>
  </si>
  <si>
    <t>Otras comisiones</t>
  </si>
  <si>
    <t>COMISIONES PAGADAS</t>
  </si>
  <si>
    <t>COMISIONES NETAS</t>
  </si>
  <si>
    <t>Variación año</t>
  </si>
  <si>
    <t>Crédito a la clientela (sin ajustes ni OAF)</t>
  </si>
  <si>
    <t>-Adquisiciones temporales</t>
  </si>
  <si>
    <t>a) Crédito a clientes estricto</t>
  </si>
  <si>
    <t>Depósitos a clientes (sin ajustes)</t>
  </si>
  <si>
    <t>-Cédulas Singulares</t>
  </si>
  <si>
    <t>b) Depósitos clientes estricto</t>
  </si>
  <si>
    <t>Ltd Ratio (a/b)</t>
  </si>
  <si>
    <t>Activos líquidos</t>
  </si>
  <si>
    <t xml:space="preserve">  Punta de tesorería (1)</t>
  </si>
  <si>
    <t xml:space="preserve">  Adquisiciones temporales de activos</t>
  </si>
  <si>
    <t xml:space="preserve">  Cartera de R. fija y otros activos descontables en BCE</t>
  </si>
  <si>
    <t xml:space="preserve">  Total activos líquidos (valor de descuento en BCE)</t>
  </si>
  <si>
    <t>Activos líquidos utilizados</t>
  </si>
  <si>
    <t xml:space="preserve">  Tomado en BCE</t>
  </si>
  <si>
    <t xml:space="preserve">  Cesiones temporales de activos y otras pignoraciones</t>
  </si>
  <si>
    <t xml:space="preserve">  Total activos líquidos utilizados</t>
  </si>
  <si>
    <t>ACTIVOS LÍQUIDOS DESCONTABLES DISPONIBLES</t>
  </si>
  <si>
    <t>Porcentaje sobre total activo</t>
  </si>
  <si>
    <t>(1) Depósitos interbancarios + excedente de saldo en BCE y cuentas operativas</t>
  </si>
  <si>
    <t>Depósitos de bancos centrales</t>
  </si>
  <si>
    <t>Depósitos de entidades de crédito</t>
  </si>
  <si>
    <t>Fondos propios</t>
  </si>
  <si>
    <t>Intereses minoritarios</t>
  </si>
  <si>
    <t>INVERSIÓN CREDITICIA PERFORMING</t>
  </si>
  <si>
    <t>3T 2021</t>
  </si>
  <si>
    <t>Entradas</t>
  </si>
  <si>
    <t>Viviendas en construcción</t>
  </si>
  <si>
    <t>Vivienda terminada</t>
  </si>
  <si>
    <t>Suelo, fincas rústicas y otros terrenos</t>
  </si>
  <si>
    <t>Oficinas, locales, naves y otros inmuebles</t>
  </si>
  <si>
    <t>QoQ</t>
  </si>
  <si>
    <t>YoY</t>
  </si>
  <si>
    <r>
      <t xml:space="preserve">Depósitos de la clientela </t>
    </r>
    <r>
      <rPr>
        <b/>
        <sz val="9"/>
        <color theme="1"/>
        <rFont val="Calibri"/>
        <family val="2"/>
      </rPr>
      <t>(excluidas cédulas)</t>
    </r>
  </si>
  <si>
    <t>4T 2021</t>
  </si>
  <si>
    <t>6. Dudosos (I)</t>
  </si>
  <si>
    <t>7. Dudosos (II)</t>
  </si>
  <si>
    <t>8. Adjudicados (I)</t>
  </si>
  <si>
    <t>9. Adjudicados (II)</t>
  </si>
  <si>
    <t>10. Resultados</t>
  </si>
  <si>
    <t>11. Rendimientos y costes</t>
  </si>
  <si>
    <t>12. Comisiones</t>
  </si>
  <si>
    <t>5. Riesgo de crédito por Stage</t>
  </si>
  <si>
    <t>RIESGO DE CRÉDITO POR STAGE</t>
  </si>
  <si>
    <t>TOTAL EXPOSICIÓN BRUTA</t>
  </si>
  <si>
    <t xml:space="preserve">  Stage 1</t>
  </si>
  <si>
    <t xml:space="preserve">  Stage 2</t>
  </si>
  <si>
    <t xml:space="preserve">  Stage 3</t>
  </si>
  <si>
    <t>13. Liquidez</t>
  </si>
  <si>
    <t>14. Solvencia</t>
  </si>
  <si>
    <t>Empleados</t>
  </si>
  <si>
    <t>1T 2022</t>
  </si>
  <si>
    <t>Ytd</t>
  </si>
  <si>
    <t>2T 2022</t>
  </si>
  <si>
    <t>3T2022</t>
  </si>
  <si>
    <t>3T 2022</t>
  </si>
  <si>
    <t>(1) Sin ajustes por valoración ni operaciones intragrupo</t>
  </si>
  <si>
    <t>Total Activo</t>
  </si>
  <si>
    <r>
      <t xml:space="preserve">Préstamos y anticipos a la clientela Brutos </t>
    </r>
    <r>
      <rPr>
        <vertAlign val="superscript"/>
        <sz val="11"/>
        <color theme="1"/>
        <rFont val="Calibri"/>
        <family val="2"/>
        <scheme val="minor"/>
      </rPr>
      <t>(1</t>
    </r>
    <r>
      <rPr>
        <vertAlign val="superscript"/>
        <sz val="11"/>
        <color theme="1"/>
        <rFont val="Calibri"/>
        <family val="2"/>
      </rPr>
      <t>)</t>
    </r>
  </si>
  <si>
    <r>
      <t xml:space="preserve">Ptmos. y antic. clientela performing brutos </t>
    </r>
    <r>
      <rPr>
        <vertAlign val="superscript"/>
        <sz val="11"/>
        <color theme="1"/>
        <rFont val="Calibri"/>
        <family val="2"/>
        <scheme val="minor"/>
      </rPr>
      <t>(1</t>
    </r>
    <r>
      <rPr>
        <vertAlign val="superscript"/>
        <sz val="11"/>
        <color theme="1"/>
        <rFont val="Calibri"/>
        <family val="2"/>
      </rPr>
      <t>)</t>
    </r>
  </si>
  <si>
    <r>
      <t xml:space="preserve">Recursos de clientes minoristas </t>
    </r>
    <r>
      <rPr>
        <vertAlign val="superscript"/>
        <sz val="11"/>
        <color theme="1"/>
        <rFont val="Calibri"/>
        <family val="2"/>
      </rPr>
      <t>(1)</t>
    </r>
  </si>
  <si>
    <t>Fondos Propios</t>
  </si>
  <si>
    <t>Patrimonio Neto</t>
  </si>
  <si>
    <r>
      <t xml:space="preserve">Margen de intereses </t>
    </r>
    <r>
      <rPr>
        <vertAlign val="superscript"/>
        <sz val="11"/>
        <color theme="1"/>
        <rFont val="Calibri"/>
        <family val="2"/>
        <scheme val="minor"/>
      </rPr>
      <t>(2)</t>
    </r>
  </si>
  <si>
    <r>
      <t>Margen Bruto</t>
    </r>
    <r>
      <rPr>
        <vertAlign val="superscript"/>
        <sz val="11"/>
        <color theme="1"/>
        <rFont val="Calibri"/>
        <family val="2"/>
        <scheme val="minor"/>
      </rPr>
      <t xml:space="preserve"> (2)</t>
    </r>
  </si>
  <si>
    <r>
      <t xml:space="preserve">Margen de explotación antes de saneamientos </t>
    </r>
    <r>
      <rPr>
        <vertAlign val="superscript"/>
        <sz val="11"/>
        <color theme="1"/>
        <rFont val="Calibri"/>
        <family val="2"/>
        <scheme val="minor"/>
      </rPr>
      <t>(2)</t>
    </r>
  </si>
  <si>
    <r>
      <t xml:space="preserve">Resultado consolidado del período </t>
    </r>
    <r>
      <rPr>
        <vertAlign val="superscript"/>
        <sz val="11"/>
        <color theme="1"/>
        <rFont val="Calibri"/>
        <family val="2"/>
        <scheme val="minor"/>
      </rPr>
      <t>(2)</t>
    </r>
  </si>
  <si>
    <r>
      <t xml:space="preserve">Ratio de eficiencia </t>
    </r>
    <r>
      <rPr>
        <vertAlign val="superscript"/>
        <sz val="11"/>
        <color theme="1"/>
        <rFont val="Calibri"/>
        <family val="2"/>
        <scheme val="minor"/>
      </rPr>
      <t>(2)</t>
    </r>
  </si>
  <si>
    <r>
      <t xml:space="preserve">Rentabilidad sobre los fondos propios tangibles ROTE </t>
    </r>
    <r>
      <rPr>
        <vertAlign val="superscript"/>
        <sz val="11"/>
        <color theme="1"/>
        <rFont val="Calibri"/>
        <family val="2"/>
        <scheme val="minor"/>
      </rPr>
      <t>(2)</t>
    </r>
  </si>
  <si>
    <t>(2) Datos de la Cuenta de resultados de diciembre y septiembre de 2021 pro-forma en la que se agregan resultados de Unicaja y Liberbank y no se consideran ajustes extraordinarios de fusión ni costes de reestructuración registrados por Liberbank con carácter previo a la fusión</t>
  </si>
  <si>
    <t xml:space="preserve">Saldos dudosos (a) </t>
  </si>
  <si>
    <r>
      <t>Activos adjudicados Inmobiliarios brutos (b)</t>
    </r>
    <r>
      <rPr>
        <vertAlign val="superscript"/>
        <sz val="11"/>
        <color theme="1"/>
        <rFont val="Calibri"/>
        <family val="2"/>
        <scheme val="minor"/>
      </rPr>
      <t xml:space="preserve"> </t>
    </r>
  </si>
  <si>
    <t>Activos no productivos -NPA- (a+b)</t>
  </si>
  <si>
    <t>Ratio de morosidad</t>
  </si>
  <si>
    <r>
      <t>Ratio de cobertura de la morosidad</t>
    </r>
    <r>
      <rPr>
        <vertAlign val="superscript"/>
        <sz val="11"/>
        <color theme="1"/>
        <rFont val="Calibri"/>
        <family val="2"/>
        <scheme val="minor"/>
      </rPr>
      <t xml:space="preserve"> </t>
    </r>
  </si>
  <si>
    <t xml:space="preserve">Ratio de cobertura de adjudicados Inmobiliarios </t>
  </si>
  <si>
    <t xml:space="preserve">Ratio de cobertura NPAs </t>
  </si>
  <si>
    <t xml:space="preserve">Coste del riesgo </t>
  </si>
  <si>
    <t>Ratio LtD</t>
  </si>
  <si>
    <t>Ratio de cobertura de liquidez (LCR)</t>
  </si>
  <si>
    <t>Ratio de financiación neta estable (NSFR)</t>
  </si>
  <si>
    <r>
      <t xml:space="preserve">Ratio CET1 </t>
    </r>
    <r>
      <rPr>
        <i/>
        <sz val="11"/>
        <color theme="1"/>
        <rFont val="Calibri"/>
        <family val="2"/>
        <scheme val="minor"/>
      </rPr>
      <t>phase in</t>
    </r>
  </si>
  <si>
    <r>
      <t>Ratio CET1</t>
    </r>
    <r>
      <rPr>
        <i/>
        <sz val="11"/>
        <color theme="1"/>
        <rFont val="Calibri"/>
        <family val="2"/>
        <scheme val="minor"/>
      </rPr>
      <t xml:space="preserve"> fully loaded</t>
    </r>
  </si>
  <si>
    <r>
      <t xml:space="preserve">Ratio de Capital Total </t>
    </r>
    <r>
      <rPr>
        <i/>
        <sz val="11"/>
        <color theme="1"/>
        <rFont val="Calibri"/>
        <family val="2"/>
        <scheme val="minor"/>
      </rPr>
      <t xml:space="preserve">phase in </t>
    </r>
  </si>
  <si>
    <r>
      <t>Ratio de Capital Total</t>
    </r>
    <r>
      <rPr>
        <i/>
        <sz val="11"/>
        <color theme="1"/>
        <rFont val="Calibri"/>
        <family val="2"/>
        <scheme val="minor"/>
      </rPr>
      <t xml:space="preserve"> fully loaded </t>
    </r>
  </si>
  <si>
    <t xml:space="preserve">Activos ponderados por riesgo (APRs) </t>
  </si>
  <si>
    <t xml:space="preserve">Ratio Texas </t>
  </si>
  <si>
    <t>RATIO DE MORA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</si>
</sst>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%"/>
    <numFmt numFmtId="165" formatCode="0.0\ \p\p"/>
    <numFmt numFmtId="166" formatCode="0\ \p\p"/>
    <numFmt numFmtId="167" formatCode="dd/mm/yy"/>
    <numFmt numFmtId="168" formatCode="#,##0.00000"/>
    <numFmt numFmtId="169" formatCode="\+0.0\ \p\p;\ \-0.0\ \p\p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u/>
      <sz val="14"/>
      <color rgb="FF009900"/>
      <name val="Calibri"/>
      <family val="2"/>
      <scheme val="minor"/>
    </font>
    <font>
      <b/>
      <sz val="14"/>
      <color rgb="FF009900"/>
      <name val="Calibri"/>
      <family val="2"/>
      <scheme val="minor"/>
    </font>
    <font>
      <b/>
      <sz val="11"/>
      <color rgb="FF009900"/>
      <name val="Calibri"/>
      <family val="2"/>
      <scheme val="minor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i/>
      <sz val="8"/>
      <color rgb="FF0000FF"/>
      <name val="Calibri"/>
      <family val="2"/>
      <scheme val="minor"/>
    </font>
    <font>
      <sz val="8"/>
      <color theme="1"/>
      <name val="Arial Narrow"/>
      <family val="2"/>
    </font>
    <font>
      <vertAlign val="superscript"/>
      <sz val="11"/>
      <color theme="1"/>
      <name val="Calibri"/>
      <family val="2"/>
    </font>
    <font>
      <vertAlign val="superscript"/>
      <sz val="11"/>
      <color theme="1"/>
      <name val="Calibri"/>
      <family val="2"/>
      <scheme val="minor"/>
    </font>
    <font>
      <i/>
      <sz val="8"/>
      <color theme="1"/>
      <name val="Arial Narrow"/>
      <family val="2"/>
    </font>
    <font>
      <b/>
      <sz val="9"/>
      <color theme="1"/>
      <name val="Calibri"/>
      <family val="2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8"/>
      <color theme="0" tint="-0.49998474074526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/>
      <right/>
      <top style="medium">
        <color theme="0"/>
      </top>
      <bottom style="medium">
        <color theme="0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39">
    <xf numFmtId="0" fontId="0" fillId="0" borderId="0" xfId="0"/>
    <xf numFmtId="0" fontId="3" fillId="0" borderId="0" xfId="0" applyFont="1"/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3"/>
    </xf>
    <xf numFmtId="0" fontId="3" fillId="0" borderId="0" xfId="0" applyFont="1" applyAlignment="1">
      <alignment horizontal="left" indent="2"/>
    </xf>
    <xf numFmtId="0" fontId="4" fillId="0" borderId="0" xfId="0" applyFont="1" applyAlignment="1">
      <alignment horizontal="left" indent="1"/>
    </xf>
    <xf numFmtId="14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5" fillId="0" borderId="0" xfId="0" applyFont="1"/>
    <xf numFmtId="0" fontId="0" fillId="0" borderId="0" xfId="0" quotePrefix="1"/>
    <xf numFmtId="3" fontId="0" fillId="0" borderId="0" xfId="0" applyNumberFormat="1"/>
    <xf numFmtId="3" fontId="3" fillId="0" borderId="0" xfId="0" applyNumberFormat="1" applyFont="1"/>
    <xf numFmtId="164" fontId="3" fillId="2" borderId="0" xfId="2" applyNumberFormat="1" applyFont="1" applyFill="1"/>
    <xf numFmtId="0" fontId="6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indent="1"/>
    </xf>
    <xf numFmtId="0" fontId="7" fillId="0" borderId="0" xfId="0" applyFont="1"/>
    <xf numFmtId="0" fontId="8" fillId="0" borderId="0" xfId="0" applyFont="1"/>
    <xf numFmtId="0" fontId="0" fillId="3" borderId="0" xfId="0" applyFill="1"/>
    <xf numFmtId="14" fontId="3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164" fontId="0" fillId="0" borderId="0" xfId="0" applyNumberFormat="1"/>
    <xf numFmtId="164" fontId="1" fillId="0" borderId="0" xfId="2" applyNumberFormat="1" applyFont="1"/>
    <xf numFmtId="0" fontId="9" fillId="4" borderId="0" xfId="0" applyFont="1" applyFill="1"/>
    <xf numFmtId="0" fontId="10" fillId="4" borderId="0" xfId="0" applyFont="1" applyFill="1"/>
    <xf numFmtId="3" fontId="10" fillId="4" borderId="0" xfId="0" applyNumberFormat="1" applyFont="1" applyFill="1"/>
    <xf numFmtId="164" fontId="10" fillId="4" borderId="0" xfId="0" applyNumberFormat="1" applyFont="1" applyFill="1"/>
    <xf numFmtId="3" fontId="9" fillId="4" borderId="0" xfId="0" applyNumberFormat="1" applyFont="1" applyFill="1"/>
    <xf numFmtId="164" fontId="9" fillId="4" borderId="0" xfId="0" applyNumberFormat="1" applyFont="1" applyFill="1"/>
    <xf numFmtId="164" fontId="9" fillId="4" borderId="0" xfId="2" applyNumberFormat="1" applyFont="1" applyFill="1"/>
    <xf numFmtId="0" fontId="9" fillId="5" borderId="0" xfId="0" applyFont="1" applyFill="1"/>
    <xf numFmtId="3" fontId="9" fillId="5" borderId="0" xfId="0" applyNumberFormat="1" applyFont="1" applyFill="1"/>
    <xf numFmtId="164" fontId="9" fillId="5" borderId="0" xfId="2" applyNumberFormat="1" applyFont="1" applyFill="1"/>
    <xf numFmtId="0" fontId="9" fillId="5" borderId="4" xfId="0" applyFont="1" applyFill="1" applyBorder="1"/>
    <xf numFmtId="3" fontId="9" fillId="5" borderId="4" xfId="0" applyNumberFormat="1" applyFont="1" applyFill="1" applyBorder="1"/>
    <xf numFmtId="164" fontId="9" fillId="5" borderId="4" xfId="2" applyNumberFormat="1" applyFont="1" applyFill="1" applyBorder="1"/>
    <xf numFmtId="164" fontId="3" fillId="0" borderId="0" xfId="2" applyNumberFormat="1" applyFont="1"/>
    <xf numFmtId="0" fontId="3" fillId="6" borderId="0" xfId="0" applyFont="1" applyFill="1" applyAlignment="1">
      <alignment horizontal="left" indent="1"/>
    </xf>
    <xf numFmtId="3" fontId="3" fillId="6" borderId="0" xfId="0" applyNumberFormat="1" applyFont="1" applyFill="1"/>
    <xf numFmtId="164" fontId="3" fillId="6" borderId="0" xfId="2" applyNumberFormat="1" applyFont="1" applyFill="1"/>
    <xf numFmtId="0" fontId="3" fillId="6" borderId="0" xfId="0" applyFont="1" applyFill="1" applyAlignment="1">
      <alignment horizontal="left" indent="2"/>
    </xf>
    <xf numFmtId="0" fontId="3" fillId="6" borderId="0" xfId="0" applyFont="1" applyFill="1"/>
    <xf numFmtId="0" fontId="3" fillId="6" borderId="5" xfId="0" applyFont="1" applyFill="1" applyBorder="1"/>
    <xf numFmtId="3" fontId="3" fillId="6" borderId="5" xfId="0" applyNumberFormat="1" applyFont="1" applyFill="1" applyBorder="1"/>
    <xf numFmtId="164" fontId="3" fillId="6" borderId="5" xfId="2" applyNumberFormat="1" applyFont="1" applyFill="1" applyBorder="1"/>
    <xf numFmtId="164" fontId="3" fillId="0" borderId="0" xfId="2" applyNumberFormat="1" applyFont="1" applyAlignment="1">
      <alignment horizontal="right"/>
    </xf>
    <xf numFmtId="164" fontId="3" fillId="6" borderId="0" xfId="2" applyNumberFormat="1" applyFont="1" applyFill="1" applyAlignment="1">
      <alignment horizontal="right"/>
    </xf>
    <xf numFmtId="164" fontId="3" fillId="6" borderId="5" xfId="2" applyNumberFormat="1" applyFont="1" applyFill="1" applyBorder="1" applyAlignment="1">
      <alignment horizontal="right"/>
    </xf>
    <xf numFmtId="164" fontId="9" fillId="4" borderId="0" xfId="2" applyNumberFormat="1" applyFont="1" applyFill="1" applyAlignment="1">
      <alignment horizontal="right"/>
    </xf>
    <xf numFmtId="0" fontId="11" fillId="0" borderId="0" xfId="0" applyFont="1"/>
    <xf numFmtId="0" fontId="9" fillId="7" borderId="5" xfId="0" applyFont="1" applyFill="1" applyBorder="1"/>
    <xf numFmtId="3" fontId="9" fillId="7" borderId="5" xfId="0" applyNumberFormat="1" applyFont="1" applyFill="1" applyBorder="1"/>
    <xf numFmtId="4" fontId="9" fillId="4" borderId="0" xfId="2" applyNumberFormat="1" applyFont="1" applyFill="1"/>
    <xf numFmtId="4" fontId="0" fillId="0" borderId="0" xfId="0" applyNumberFormat="1"/>
    <xf numFmtId="4" fontId="9" fillId="4" borderId="0" xfId="0" applyNumberFormat="1" applyFont="1" applyFill="1" applyAlignment="1">
      <alignment horizontal="right"/>
    </xf>
    <xf numFmtId="4" fontId="9" fillId="4" borderId="0" xfId="0" applyNumberFormat="1" applyFont="1" applyFill="1"/>
    <xf numFmtId="9" fontId="0" fillId="0" borderId="0" xfId="0" applyNumberFormat="1"/>
    <xf numFmtId="0" fontId="9" fillId="4" borderId="5" xfId="0" applyFont="1" applyFill="1" applyBorder="1"/>
    <xf numFmtId="0" fontId="0" fillId="0" borderId="0" xfId="0" applyAlignment="1">
      <alignment horizontal="center"/>
    </xf>
    <xf numFmtId="10" fontId="0" fillId="0" borderId="0" xfId="0" applyNumberFormat="1"/>
    <xf numFmtId="0" fontId="9" fillId="3" borderId="6" xfId="0" applyFont="1" applyFill="1" applyBorder="1"/>
    <xf numFmtId="10" fontId="12" fillId="0" borderId="0" xfId="0" applyNumberFormat="1" applyFont="1"/>
    <xf numFmtId="165" fontId="0" fillId="0" borderId="0" xfId="0" applyNumberFormat="1"/>
    <xf numFmtId="0" fontId="5" fillId="0" borderId="0" xfId="0" applyFont="1" applyAlignment="1">
      <alignment vertical="top"/>
    </xf>
    <xf numFmtId="165" fontId="3" fillId="6" borderId="0" xfId="2" applyNumberFormat="1" applyFont="1" applyFill="1" applyAlignment="1">
      <alignment horizontal="right"/>
    </xf>
    <xf numFmtId="165" fontId="3" fillId="6" borderId="5" xfId="2" applyNumberFormat="1" applyFont="1" applyFill="1" applyBorder="1" applyAlignment="1">
      <alignment horizontal="right"/>
    </xf>
    <xf numFmtId="165" fontId="3" fillId="0" borderId="0" xfId="2" applyNumberFormat="1" applyFont="1" applyAlignment="1">
      <alignment horizontal="right"/>
    </xf>
    <xf numFmtId="165" fontId="1" fillId="0" borderId="0" xfId="2" applyNumberFormat="1" applyFont="1" applyAlignment="1">
      <alignment horizontal="right"/>
    </xf>
    <xf numFmtId="165" fontId="9" fillId="4" borderId="0" xfId="2" applyNumberFormat="1" applyFont="1" applyFill="1" applyAlignment="1">
      <alignment horizontal="right"/>
    </xf>
    <xf numFmtId="166" fontId="0" fillId="0" borderId="0" xfId="0" applyNumberFormat="1"/>
    <xf numFmtId="164" fontId="9" fillId="0" borderId="0" xfId="2" applyNumberFormat="1" applyFont="1" applyFill="1" applyBorder="1" applyAlignment="1">
      <alignment horizontal="right"/>
    </xf>
    <xf numFmtId="3" fontId="0" fillId="3" borderId="0" xfId="0" applyNumberFormat="1" applyFill="1"/>
    <xf numFmtId="4" fontId="1" fillId="0" borderId="0" xfId="2" applyNumberFormat="1" applyFont="1"/>
    <xf numFmtId="0" fontId="0" fillId="8" borderId="0" xfId="0" applyFill="1"/>
    <xf numFmtId="164" fontId="1" fillId="0" borderId="0" xfId="2" applyNumberFormat="1" applyFont="1" applyAlignment="1">
      <alignment horizontal="right"/>
    </xf>
    <xf numFmtId="3" fontId="13" fillId="0" borderId="0" xfId="0" applyNumberFormat="1" applyFont="1"/>
    <xf numFmtId="10" fontId="9" fillId="4" borderId="5" xfId="2" applyNumberFormat="1" applyFont="1" applyFill="1" applyBorder="1" applyAlignment="1">
      <alignment horizontal="right"/>
    </xf>
    <xf numFmtId="4" fontId="5" fillId="0" borderId="0" xfId="0" applyNumberFormat="1" applyFont="1"/>
    <xf numFmtId="0" fontId="14" fillId="3" borderId="0" xfId="0" applyFont="1" applyFill="1" applyAlignment="1">
      <alignment horizontal="left" vertical="center"/>
    </xf>
    <xf numFmtId="0" fontId="15" fillId="3" borderId="0" xfId="0" applyFont="1" applyFill="1" applyAlignment="1">
      <alignment horizontal="left" vertical="center" indent="5"/>
    </xf>
    <xf numFmtId="0" fontId="16" fillId="3" borderId="0" xfId="1" applyFont="1" applyFill="1" applyAlignment="1">
      <alignment horizontal="left" vertical="center"/>
    </xf>
    <xf numFmtId="0" fontId="17" fillId="0" borderId="0" xfId="0" applyFont="1"/>
    <xf numFmtId="0" fontId="18" fillId="3" borderId="5" xfId="0" applyFont="1" applyFill="1" applyBorder="1"/>
    <xf numFmtId="168" fontId="0" fillId="0" borderId="0" xfId="0" applyNumberFormat="1"/>
    <xf numFmtId="0" fontId="13" fillId="0" borderId="0" xfId="0" applyFont="1"/>
    <xf numFmtId="0" fontId="0" fillId="0" borderId="0" xfId="0" applyAlignment="1">
      <alignment horizontal="left" indent="12"/>
    </xf>
    <xf numFmtId="14" fontId="3" fillId="0" borderId="0" xfId="0" applyNumberFormat="1" applyFont="1" applyAlignment="1">
      <alignment horizontal="right"/>
    </xf>
    <xf numFmtId="0" fontId="3" fillId="0" borderId="3" xfId="0" applyFont="1" applyBorder="1" applyAlignment="1">
      <alignment horizontal="right" wrapText="1"/>
    </xf>
    <xf numFmtId="0" fontId="0" fillId="0" borderId="0" xfId="0" applyAlignment="1">
      <alignment wrapText="1"/>
    </xf>
    <xf numFmtId="164" fontId="9" fillId="4" borderId="0" xfId="2" applyNumberFormat="1" applyFont="1" applyFill="1" applyBorder="1" applyAlignment="1">
      <alignment horizontal="right"/>
    </xf>
    <xf numFmtId="0" fontId="19" fillId="6" borderId="0" xfId="0" applyFont="1" applyFill="1"/>
    <xf numFmtId="3" fontId="19" fillId="6" borderId="0" xfId="0" applyNumberFormat="1" applyFont="1" applyFill="1"/>
    <xf numFmtId="4" fontId="19" fillId="6" borderId="0" xfId="2" applyNumberFormat="1" applyFont="1" applyFill="1"/>
    <xf numFmtId="4" fontId="19" fillId="6" borderId="0" xfId="0" applyNumberFormat="1" applyFont="1" applyFill="1"/>
    <xf numFmtId="0" fontId="19" fillId="5" borderId="6" xfId="0" applyFont="1" applyFill="1" applyBorder="1"/>
    <xf numFmtId="3" fontId="19" fillId="5" borderId="6" xfId="0" applyNumberFormat="1" applyFont="1" applyFill="1" applyBorder="1"/>
    <xf numFmtId="4" fontId="19" fillId="5" borderId="6" xfId="0" applyNumberFormat="1" applyFont="1" applyFill="1" applyBorder="1"/>
    <xf numFmtId="0" fontId="20" fillId="0" borderId="0" xfId="0" applyFont="1"/>
    <xf numFmtId="165" fontId="9" fillId="4" borderId="0" xfId="0" applyNumberFormat="1" applyFont="1" applyFill="1"/>
    <xf numFmtId="9" fontId="3" fillId="0" borderId="0" xfId="2" applyFont="1"/>
    <xf numFmtId="164" fontId="0" fillId="0" borderId="0" xfId="2" applyNumberFormat="1" applyFont="1" applyAlignment="1">
      <alignment horizontal="right"/>
    </xf>
    <xf numFmtId="0" fontId="9" fillId="7" borderId="0" xfId="0" applyFont="1" applyFill="1"/>
    <xf numFmtId="3" fontId="9" fillId="7" borderId="0" xfId="0" applyNumberFormat="1" applyFont="1" applyFill="1"/>
    <xf numFmtId="14" fontId="9" fillId="4" borderId="0" xfId="0" applyNumberFormat="1" applyFont="1" applyFill="1"/>
    <xf numFmtId="3" fontId="8" fillId="0" borderId="0" xfId="0" applyNumberFormat="1" applyFont="1" applyAlignment="1">
      <alignment horizontal="left" vertical="top"/>
    </xf>
    <xf numFmtId="0" fontId="5" fillId="0" borderId="0" xfId="0" applyFont="1" applyAlignment="1">
      <alignment vertical="top" wrapText="1"/>
    </xf>
    <xf numFmtId="164" fontId="13" fillId="3" borderId="0" xfId="2" applyNumberFormat="1" applyFont="1" applyFill="1"/>
    <xf numFmtId="164" fontId="13" fillId="0" borderId="0" xfId="2" applyNumberFormat="1" applyFont="1" applyFill="1"/>
    <xf numFmtId="0" fontId="5" fillId="0" borderId="0" xfId="0" applyFont="1" applyAlignment="1">
      <alignment vertical="center"/>
    </xf>
    <xf numFmtId="0" fontId="3" fillId="0" borderId="2" xfId="0" applyFont="1" applyBorder="1" applyAlignment="1">
      <alignment horizontal="right" wrapText="1"/>
    </xf>
    <xf numFmtId="164" fontId="0" fillId="0" borderId="0" xfId="2" applyNumberFormat="1" applyFont="1"/>
    <xf numFmtId="169" fontId="11" fillId="2" borderId="0" xfId="0" applyNumberFormat="1" applyFont="1" applyFill="1"/>
    <xf numFmtId="0" fontId="18" fillId="3" borderId="0" xfId="0" applyFont="1" applyFill="1" applyAlignment="1">
      <alignment wrapText="1"/>
    </xf>
    <xf numFmtId="164" fontId="0" fillId="0" borderId="0" xfId="2" applyNumberFormat="1" applyFont="1" applyFill="1" applyAlignment="1">
      <alignment horizontal="right"/>
    </xf>
    <xf numFmtId="164" fontId="9" fillId="7" borderId="5" xfId="2" applyNumberFormat="1" applyFont="1" applyFill="1" applyBorder="1"/>
    <xf numFmtId="164" fontId="1" fillId="0" borderId="0" xfId="2" applyNumberFormat="1" applyFont="1" applyFill="1"/>
    <xf numFmtId="9" fontId="0" fillId="0" borderId="0" xfId="2" applyFont="1"/>
    <xf numFmtId="3" fontId="9" fillId="4" borderId="0" xfId="2" applyNumberFormat="1" applyFont="1" applyFill="1"/>
    <xf numFmtId="0" fontId="26" fillId="0" borderId="0" xfId="0" applyFont="1"/>
    <xf numFmtId="168" fontId="26" fillId="0" borderId="0" xfId="0" applyNumberFormat="1" applyFont="1"/>
    <xf numFmtId="0" fontId="3" fillId="0" borderId="0" xfId="0" applyFont="1" applyAlignment="1">
      <alignment horizontal="right"/>
    </xf>
    <xf numFmtId="167" fontId="3" fillId="0" borderId="0" xfId="0" applyNumberFormat="1" applyFont="1" applyAlignment="1">
      <alignment horizontal="right"/>
    </xf>
    <xf numFmtId="10" fontId="13" fillId="0" borderId="0" xfId="2" applyNumberFormat="1" applyFont="1" applyFill="1"/>
    <xf numFmtId="9" fontId="1" fillId="0" borderId="0" xfId="2" applyFont="1" applyFill="1"/>
    <xf numFmtId="0" fontId="27" fillId="0" borderId="0" xfId="0" applyFont="1"/>
    <xf numFmtId="0" fontId="12" fillId="0" borderId="0" xfId="0" applyFont="1" applyAlignment="1">
      <alignment horizontal="center"/>
    </xf>
    <xf numFmtId="3" fontId="27" fillId="0" borderId="0" xfId="0" applyNumberFormat="1" applyFont="1"/>
    <xf numFmtId="164" fontId="0" fillId="0" borderId="0" xfId="2" applyNumberFormat="1" applyFont="1" applyFill="1"/>
    <xf numFmtId="0" fontId="13" fillId="0" borderId="0" xfId="0" applyFont="1" applyAlignment="1">
      <alignment horizontal="left" indent="2"/>
    </xf>
    <xf numFmtId="14" fontId="28" fillId="0" borderId="0" xfId="0" applyNumberFormat="1" applyFont="1"/>
    <xf numFmtId="0" fontId="28" fillId="0" borderId="0" xfId="0" applyFont="1"/>
    <xf numFmtId="0" fontId="5" fillId="0" borderId="0" xfId="0" applyFont="1" applyAlignment="1">
      <alignment horizontal="left" vertical="top" wrapText="1"/>
    </xf>
    <xf numFmtId="0" fontId="24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0" fontId="21" fillId="0" borderId="0" xfId="0" applyFont="1" applyAlignment="1">
      <alignment horizontal="left" vertical="top" wrapText="1"/>
    </xf>
    <xf numFmtId="0" fontId="18" fillId="3" borderId="0" xfId="0" applyFont="1" applyFill="1" applyAlignment="1">
      <alignment horizontal="left" vertical="center" wrapText="1"/>
    </xf>
  </cellXfs>
  <cellStyles count="3">
    <cellStyle name="Hipervínculo" xfId="1" builtinId="8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unicajabanco.com/" TargetMode="Externa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1609725</xdr:colOff>
      <xdr:row>0</xdr:row>
      <xdr:rowOff>66675</xdr:rowOff>
    </xdr:from>
    <xdr:to>
      <xdr:col>2</xdr:col>
      <xdr:colOff>266700</xdr:colOff>
      <xdr:row>1</xdr:row>
      <xdr:rowOff>200025</xdr:rowOff>
    </xdr:to>
    <xdr:pic>
      <xdr:nvPicPr>
        <xdr:cNvPr id="1025" name="1 Imagen" descr="Unicaja Banc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1725" y="66675"/>
          <a:ext cx="14287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214032</xdr:colOff>
      <xdr:row>0</xdr:row>
      <xdr:rowOff>94130</xdr:rowOff>
    </xdr:from>
    <xdr:to>
      <xdr:col>7</xdr:col>
      <xdr:colOff>156882</xdr:colOff>
      <xdr:row>2</xdr:row>
      <xdr:rowOff>86286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7408208" y="94130"/>
          <a:ext cx="704850" cy="395568"/>
        </a:xfrm>
        <a:prstGeom prst="rect">
          <a:avLst/>
        </a:prstGeom>
      </xdr:spPr>
      <xdr:style>
        <a:lnRef idx="3">
          <a:schemeClr val="lt1"/>
        </a:lnRef>
        <a:fillRef idx="1">
          <a:schemeClr val="accent3"/>
        </a:fillRef>
        <a:effectRef idx="1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200" b="1"/>
            <a:t>MENU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0</xdr:rowOff>
    </xdr:from>
    <xdr:to>
      <xdr:col>6</xdr:col>
      <xdr:colOff>704850</xdr:colOff>
      <xdr:row>2</xdr:row>
      <xdr:rowOff>203387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8467725" y="209550"/>
          <a:ext cx="704850" cy="393887"/>
        </a:xfrm>
        <a:prstGeom prst="rect">
          <a:avLst/>
        </a:prstGeom>
      </xdr:spPr>
      <xdr:style>
        <a:lnRef idx="3">
          <a:schemeClr val="lt1"/>
        </a:lnRef>
        <a:fillRef idx="1">
          <a:schemeClr val="accent3"/>
        </a:fillRef>
        <a:effectRef idx="1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200" b="1"/>
            <a:t>MENU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247650</xdr:colOff>
      <xdr:row>1</xdr:row>
      <xdr:rowOff>190500</xdr:rowOff>
    </xdr:from>
    <xdr:to>
      <xdr:col>21</xdr:col>
      <xdr:colOff>190500</xdr:colOff>
      <xdr:row>4</xdr:row>
      <xdr:rowOff>3362</xdr:rowOff>
    </xdr:to>
    <xdr:sp macro="" textlink="">
      <xdr:nvSpPr>
        <xdr:cNvPr id="3" name="2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/>
      </xdr:nvSpPr>
      <xdr:spPr>
        <a:xfrm>
          <a:off x="10496550" y="190500"/>
          <a:ext cx="704850" cy="393887"/>
        </a:xfrm>
        <a:prstGeom prst="rect">
          <a:avLst/>
        </a:prstGeom>
      </xdr:spPr>
      <xdr:style>
        <a:lnRef idx="3">
          <a:schemeClr val="lt1"/>
        </a:lnRef>
        <a:fillRef idx="1">
          <a:schemeClr val="accent3"/>
        </a:fillRef>
        <a:effectRef idx="1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200" b="1"/>
            <a:t>MENU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180975</xdr:colOff>
      <xdr:row>0</xdr:row>
      <xdr:rowOff>180975</xdr:rowOff>
    </xdr:from>
    <xdr:to>
      <xdr:col>11</xdr:col>
      <xdr:colOff>123825</xdr:colOff>
      <xdr:row>2</xdr:row>
      <xdr:rowOff>174812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/>
      </xdr:nvSpPr>
      <xdr:spPr>
        <a:xfrm>
          <a:off x="7715250" y="180975"/>
          <a:ext cx="704850" cy="393887"/>
        </a:xfrm>
        <a:prstGeom prst="rect">
          <a:avLst/>
        </a:prstGeom>
      </xdr:spPr>
      <xdr:style>
        <a:lnRef idx="3">
          <a:schemeClr val="lt1"/>
        </a:lnRef>
        <a:fillRef idx="1">
          <a:schemeClr val="accent3"/>
        </a:fillRef>
        <a:effectRef idx="1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200" b="1"/>
            <a:t>MENU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276225</xdr:colOff>
      <xdr:row>0</xdr:row>
      <xdr:rowOff>123825</xdr:rowOff>
    </xdr:from>
    <xdr:to>
      <xdr:col>9</xdr:col>
      <xdr:colOff>171450</xdr:colOff>
      <xdr:row>2</xdr:row>
      <xdr:rowOff>117662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/>
      </xdr:nvSpPr>
      <xdr:spPr>
        <a:xfrm>
          <a:off x="9048750" y="123825"/>
          <a:ext cx="704850" cy="393887"/>
        </a:xfrm>
        <a:prstGeom prst="rect">
          <a:avLst/>
        </a:prstGeom>
      </xdr:spPr>
      <xdr:style>
        <a:lnRef idx="3">
          <a:schemeClr val="lt1"/>
        </a:lnRef>
        <a:fillRef idx="1">
          <a:schemeClr val="accent3"/>
        </a:fillRef>
        <a:effectRef idx="1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200" b="1"/>
            <a:t>MENU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314325</xdr:colOff>
      <xdr:row>0</xdr:row>
      <xdr:rowOff>190500</xdr:rowOff>
    </xdr:from>
    <xdr:to>
      <xdr:col>6</xdr:col>
      <xdr:colOff>257175</xdr:colOff>
      <xdr:row>2</xdr:row>
      <xdr:rowOff>193862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/>
      </xdr:nvSpPr>
      <xdr:spPr>
        <a:xfrm>
          <a:off x="7134225" y="190500"/>
          <a:ext cx="704850" cy="393887"/>
        </a:xfrm>
        <a:prstGeom prst="rect">
          <a:avLst/>
        </a:prstGeom>
      </xdr:spPr>
      <xdr:style>
        <a:lnRef idx="3">
          <a:schemeClr val="lt1"/>
        </a:lnRef>
        <a:fillRef idx="1">
          <a:schemeClr val="accent3"/>
        </a:fillRef>
        <a:effectRef idx="1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200" b="1"/>
            <a:t>MENU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663543</xdr:colOff>
      <xdr:row>1</xdr:row>
      <xdr:rowOff>133350</xdr:rowOff>
    </xdr:from>
    <xdr:to>
      <xdr:col>9</xdr:col>
      <xdr:colOff>606393</xdr:colOff>
      <xdr:row>3</xdr:row>
      <xdr:rowOff>136712</xdr:rowOff>
    </xdr:to>
    <xdr:sp macro="" textlink="">
      <xdr:nvSpPr>
        <xdr:cNvPr id="5" name="4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9373626" y="334433"/>
          <a:ext cx="704850" cy="394946"/>
        </a:xfrm>
        <a:prstGeom prst="rect">
          <a:avLst/>
        </a:prstGeom>
      </xdr:spPr>
      <xdr:style>
        <a:lnRef idx="3">
          <a:schemeClr val="lt1"/>
        </a:lnRef>
        <a:fillRef idx="1">
          <a:schemeClr val="accent3"/>
        </a:fillRef>
        <a:effectRef idx="1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200" b="1"/>
            <a:t>MENU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305369</xdr:colOff>
      <xdr:row>1</xdr:row>
      <xdr:rowOff>47625</xdr:rowOff>
    </xdr:from>
    <xdr:to>
      <xdr:col>9</xdr:col>
      <xdr:colOff>248219</xdr:colOff>
      <xdr:row>3</xdr:row>
      <xdr:rowOff>50987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9774340" y="249331"/>
          <a:ext cx="704850" cy="395568"/>
        </a:xfrm>
        <a:prstGeom prst="rect">
          <a:avLst/>
        </a:prstGeom>
      </xdr:spPr>
      <xdr:style>
        <a:lnRef idx="3">
          <a:schemeClr val="lt1"/>
        </a:lnRef>
        <a:fillRef idx="1">
          <a:schemeClr val="accent3"/>
        </a:fillRef>
        <a:effectRef idx="1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200" b="1"/>
            <a:t>MENU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494189</xdr:colOff>
      <xdr:row>1</xdr:row>
      <xdr:rowOff>142875</xdr:rowOff>
    </xdr:from>
    <xdr:to>
      <xdr:col>9</xdr:col>
      <xdr:colOff>437039</xdr:colOff>
      <xdr:row>3</xdr:row>
      <xdr:rowOff>146237</xdr:rowOff>
    </xdr:to>
    <xdr:sp macro="" textlink="">
      <xdr:nvSpPr>
        <xdr:cNvPr id="7" name="6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8383130" y="344581"/>
          <a:ext cx="592791" cy="395568"/>
        </a:xfrm>
        <a:prstGeom prst="rect">
          <a:avLst/>
        </a:prstGeom>
      </xdr:spPr>
      <xdr:style>
        <a:lnRef idx="3">
          <a:schemeClr val="lt1"/>
        </a:lnRef>
        <a:fillRef idx="1">
          <a:schemeClr val="accent3"/>
        </a:fillRef>
        <a:effectRef idx="1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200" b="1"/>
            <a:t>MENU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261665</xdr:colOff>
      <xdr:row>1</xdr:row>
      <xdr:rowOff>39220</xdr:rowOff>
    </xdr:from>
    <xdr:to>
      <xdr:col>9</xdr:col>
      <xdr:colOff>204515</xdr:colOff>
      <xdr:row>3</xdr:row>
      <xdr:rowOff>33057</xdr:rowOff>
    </xdr:to>
    <xdr:sp macro="" textlink="">
      <xdr:nvSpPr>
        <xdr:cNvPr id="3" name="2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8150606" y="240926"/>
          <a:ext cx="704850" cy="397249"/>
        </a:xfrm>
        <a:prstGeom prst="rect">
          <a:avLst/>
        </a:prstGeom>
      </xdr:spPr>
      <xdr:style>
        <a:lnRef idx="3">
          <a:schemeClr val="lt1"/>
        </a:lnRef>
        <a:fillRef idx="1">
          <a:schemeClr val="accent3"/>
        </a:fillRef>
        <a:effectRef idx="1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200" b="1"/>
            <a:t>MENU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238133</xdr:colOff>
      <xdr:row>1</xdr:row>
      <xdr:rowOff>42582</xdr:rowOff>
    </xdr:from>
    <xdr:to>
      <xdr:col>9</xdr:col>
      <xdr:colOff>180983</xdr:colOff>
      <xdr:row>3</xdr:row>
      <xdr:rowOff>0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8362958" y="242607"/>
          <a:ext cx="704850" cy="393887"/>
        </a:xfrm>
        <a:prstGeom prst="rect">
          <a:avLst/>
        </a:prstGeom>
      </xdr:spPr>
      <xdr:style>
        <a:lnRef idx="3">
          <a:schemeClr val="lt1"/>
        </a:lnRef>
        <a:fillRef idx="1">
          <a:schemeClr val="accent3"/>
        </a:fillRef>
        <a:effectRef idx="1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200" b="1"/>
            <a:t>MENU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238133</xdr:colOff>
      <xdr:row>1</xdr:row>
      <xdr:rowOff>42582</xdr:rowOff>
    </xdr:from>
    <xdr:to>
      <xdr:col>9</xdr:col>
      <xdr:colOff>180983</xdr:colOff>
      <xdr:row>3</xdr:row>
      <xdr:rowOff>45944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8149486" y="244288"/>
          <a:ext cx="704850" cy="395568"/>
        </a:xfrm>
        <a:prstGeom prst="rect">
          <a:avLst/>
        </a:prstGeom>
      </xdr:spPr>
      <xdr:style>
        <a:lnRef idx="3">
          <a:schemeClr val="lt1"/>
        </a:lnRef>
        <a:fillRef idx="1">
          <a:schemeClr val="accent3"/>
        </a:fillRef>
        <a:effectRef idx="1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200" b="1"/>
            <a:t>MENU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57150</xdr:colOff>
      <xdr:row>0</xdr:row>
      <xdr:rowOff>171450</xdr:rowOff>
    </xdr:from>
    <xdr:to>
      <xdr:col>10</xdr:col>
      <xdr:colOff>257175</xdr:colOff>
      <xdr:row>2</xdr:row>
      <xdr:rowOff>165287</xdr:rowOff>
    </xdr:to>
    <xdr:sp macro="" textlink="">
      <xdr:nvSpPr>
        <xdr:cNvPr id="3" name="2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7258050" y="171450"/>
          <a:ext cx="771525" cy="393887"/>
        </a:xfrm>
        <a:prstGeom prst="rect">
          <a:avLst/>
        </a:prstGeom>
      </xdr:spPr>
      <xdr:style>
        <a:lnRef idx="3">
          <a:schemeClr val="lt1"/>
        </a:lnRef>
        <a:fillRef idx="1">
          <a:schemeClr val="accent3"/>
        </a:fillRef>
        <a:effectRef idx="1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200" b="1"/>
            <a:t>MENU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91335</xdr:colOff>
      <xdr:row>1</xdr:row>
      <xdr:rowOff>57150</xdr:rowOff>
    </xdr:from>
    <xdr:to>
      <xdr:col>9</xdr:col>
      <xdr:colOff>34184</xdr:colOff>
      <xdr:row>3</xdr:row>
      <xdr:rowOff>0</xdr:rowOff>
    </xdr:to>
    <xdr:sp macro="" textlink="">
      <xdr:nvSpPr>
        <xdr:cNvPr id="3" name="2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/>
      </xdr:nvSpPr>
      <xdr:spPr>
        <a:xfrm>
          <a:off x="8450923" y="258856"/>
          <a:ext cx="660026" cy="395568"/>
        </a:xfrm>
        <a:prstGeom prst="rect">
          <a:avLst/>
        </a:prstGeom>
      </xdr:spPr>
      <xdr:style>
        <a:lnRef idx="3">
          <a:schemeClr val="lt1"/>
        </a:lnRef>
        <a:fillRef idx="1">
          <a:schemeClr val="accent3"/>
        </a:fillRef>
        <a:effectRef idx="1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200" b="1"/>
            <a:t>MENU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7"/>
  <sheetViews>
    <sheetView showGridLines="0" showRowColHeaders="0" zoomScaleNormal="100" workbookViewId="0">
      <selection activeCell="B1" sqref="B1"/>
    </sheetView>
  </sheetViews>
  <sheetFormatPr baseColWidth="10" defaultColWidth="11.453125" defaultRowHeight="14.5" x14ac:dyDescent="0.35"/>
  <cols>
    <col min="1" max="1" width="11.453125" style="21" customWidth="1"/>
    <col min="2" max="2" width="41.54296875" style="21" bestFit="1" customWidth="1"/>
    <col min="3" max="3" width="11.453125" style="21" customWidth="1"/>
  </cols>
  <sheetData>
    <row r="1" spans="2:2" ht="37.5" customHeight="1" x14ac:dyDescent="0.35">
      <c r="B1" s="81" t="s">
        <v>2</v>
      </c>
    </row>
    <row r="2" spans="2:2" ht="18.5" x14ac:dyDescent="0.35">
      <c r="B2" s="82"/>
    </row>
    <row r="3" spans="2:2" ht="20.149999999999999" customHeight="1" x14ac:dyDescent="0.35">
      <c r="B3" s="83" t="s">
        <v>10</v>
      </c>
    </row>
    <row r="4" spans="2:2" ht="20.149999999999999" customHeight="1" x14ac:dyDescent="0.35">
      <c r="B4" s="83" t="s">
        <v>11</v>
      </c>
    </row>
    <row r="5" spans="2:2" ht="20.149999999999999" customHeight="1" x14ac:dyDescent="0.35">
      <c r="B5" s="83" t="s">
        <v>12</v>
      </c>
    </row>
    <row r="6" spans="2:2" ht="20.149999999999999" customHeight="1" x14ac:dyDescent="0.35">
      <c r="B6" s="83" t="s">
        <v>13</v>
      </c>
    </row>
    <row r="7" spans="2:2" s="21" customFormat="1" ht="20.149999999999999" customHeight="1" x14ac:dyDescent="0.35">
      <c r="B7" s="83" t="s">
        <v>237</v>
      </c>
    </row>
    <row r="8" spans="2:2" s="21" customFormat="1" ht="20.149999999999999" customHeight="1" x14ac:dyDescent="0.35">
      <c r="B8" s="83" t="s">
        <v>230</v>
      </c>
    </row>
    <row r="9" spans="2:2" s="21" customFormat="1" ht="20.149999999999999" customHeight="1" x14ac:dyDescent="0.35">
      <c r="B9" s="83" t="s">
        <v>231</v>
      </c>
    </row>
    <row r="10" spans="2:2" s="21" customFormat="1" ht="20.149999999999999" customHeight="1" x14ac:dyDescent="0.35">
      <c r="B10" s="83" t="s">
        <v>232</v>
      </c>
    </row>
    <row r="11" spans="2:2" s="21" customFormat="1" ht="20.149999999999999" customHeight="1" x14ac:dyDescent="0.35">
      <c r="B11" s="83" t="s">
        <v>233</v>
      </c>
    </row>
    <row r="12" spans="2:2" s="21" customFormat="1" ht="20.149999999999999" customHeight="1" x14ac:dyDescent="0.35">
      <c r="B12" s="83" t="s">
        <v>234</v>
      </c>
    </row>
    <row r="13" spans="2:2" s="21" customFormat="1" ht="20.149999999999999" customHeight="1" x14ac:dyDescent="0.35">
      <c r="B13" s="83" t="s">
        <v>235</v>
      </c>
    </row>
    <row r="14" spans="2:2" s="21" customFormat="1" ht="20.149999999999999" customHeight="1" x14ac:dyDescent="0.35">
      <c r="B14" s="83" t="s">
        <v>236</v>
      </c>
    </row>
    <row r="15" spans="2:2" s="21" customFormat="1" ht="20.149999999999999" customHeight="1" x14ac:dyDescent="0.35">
      <c r="B15" s="83" t="s">
        <v>243</v>
      </c>
    </row>
    <row r="16" spans="2:2" s="21" customFormat="1" ht="20.149999999999999" customHeight="1" x14ac:dyDescent="0.35">
      <c r="B16" s="83" t="s">
        <v>244</v>
      </c>
    </row>
    <row r="17" spans="2:2" x14ac:dyDescent="0.35">
      <c r="B17" s="83"/>
    </row>
  </sheetData>
  <hyperlinks>
    <hyperlink ref="B3" location="Relevantes!A1" display="1. Datos Relevantes " xr:uid="{00000000-0004-0000-0000-000000000000}"/>
    <hyperlink ref="B4" location="Balance!A1" display="2. Total Balance" xr:uid="{00000000-0004-0000-0000-000001000000}"/>
    <hyperlink ref="B5" location="Recursos!A1" display="3. Recursos" xr:uid="{00000000-0004-0000-0000-000002000000}"/>
    <hyperlink ref="B6" location="'Credito Performing'!A1" display="4. Crédito performing" xr:uid="{00000000-0004-0000-0000-000003000000}"/>
    <hyperlink ref="B8" location="'Dudosos (I)'!A1" display="5. Dudosos (I)" xr:uid="{00000000-0004-0000-0000-000004000000}"/>
    <hyperlink ref="B10" location="'Adjudicados (I)'!A1" display="7. Adjudicados (I)" xr:uid="{00000000-0004-0000-0000-000005000000}"/>
    <hyperlink ref="B12" location="Resultados!A1" display="9. Resultados" xr:uid="{00000000-0004-0000-0000-000006000000}"/>
    <hyperlink ref="B13" location="'Rend &amp; Costes'!A1" display="10. Rendimientos y costes" xr:uid="{00000000-0004-0000-0000-000007000000}"/>
    <hyperlink ref="B14" location="Comisiones!A1" display="11. Comisiones" xr:uid="{00000000-0004-0000-0000-000008000000}"/>
    <hyperlink ref="B9" location="'Dudosos (II)'!A1" display="6. Dudosos (II)" xr:uid="{00000000-0004-0000-0000-000009000000}"/>
    <hyperlink ref="B11" location="'Adjudicados (II)'!A1" display="8. Adjudicados (II)" xr:uid="{00000000-0004-0000-0000-00000A000000}"/>
    <hyperlink ref="B7" location="'Riesgo de crédito por Stage'!A1" display="5. Riesgo de crédito por Stage" xr:uid="{00000000-0004-0000-0000-00000B000000}"/>
    <hyperlink ref="B15" location="'Dudosos (II)'!A1" display="6. Dudosos (II)" xr:uid="{00000000-0004-0000-0000-00000C000000}"/>
    <hyperlink ref="B16" location="Solvencia!Área_de_impresión" display="14. Solvencia" xr:uid="{00000000-0004-0000-0000-00000D000000}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F70"/>
  <sheetViews>
    <sheetView showGridLines="0" zoomScale="85" zoomScaleNormal="85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" sqref="B1"/>
    </sheetView>
  </sheetViews>
  <sheetFormatPr baseColWidth="10" defaultRowHeight="14.5" x14ac:dyDescent="0.35"/>
  <cols>
    <col min="1" max="1" width="51.453125" customWidth="1"/>
    <col min="2" max="6" width="11.453125" customWidth="1"/>
  </cols>
  <sheetData>
    <row r="1" spans="1:6" ht="15.5" x14ac:dyDescent="0.35">
      <c r="A1" s="19" t="s">
        <v>134</v>
      </c>
      <c r="B1" s="132">
        <f>MAX(Relevantes!$2:$2)</f>
        <v>44834</v>
      </c>
      <c r="C1" s="132">
        <f>EOMONTH(B1,-3)</f>
        <v>44742</v>
      </c>
      <c r="D1" s="132">
        <f t="shared" ref="D1:F1" si="0">EOMONTH(C1,-3)</f>
        <v>44651</v>
      </c>
      <c r="E1" s="132">
        <f t="shared" si="0"/>
        <v>44561</v>
      </c>
      <c r="F1" s="132">
        <f t="shared" si="0"/>
        <v>44469</v>
      </c>
    </row>
    <row r="2" spans="1:6" ht="15" thickBot="1" x14ac:dyDescent="0.4">
      <c r="A2" s="20" t="s">
        <v>49</v>
      </c>
      <c r="B2" s="22" t="s">
        <v>250</v>
      </c>
      <c r="C2" s="22" t="s">
        <v>248</v>
      </c>
      <c r="D2" s="22" t="s">
        <v>246</v>
      </c>
      <c r="E2" s="22" t="s">
        <v>229</v>
      </c>
      <c r="F2" s="22" t="s">
        <v>220</v>
      </c>
    </row>
    <row r="3" spans="1:6" x14ac:dyDescent="0.35">
      <c r="A3" s="1" t="s">
        <v>135</v>
      </c>
      <c r="B3" s="1"/>
      <c r="C3" s="1"/>
      <c r="D3" s="1"/>
      <c r="E3" s="1"/>
      <c r="F3" s="1"/>
    </row>
    <row r="4" spans="1:6" x14ac:dyDescent="0.35">
      <c r="A4" s="33" t="s">
        <v>136</v>
      </c>
      <c r="B4" s="34">
        <f>+C7</f>
        <v>1943.3024506499914</v>
      </c>
      <c r="C4" s="34">
        <f>+D7</f>
        <v>2092.8165948699998</v>
      </c>
      <c r="D4" s="34">
        <f>+E7</f>
        <v>2208.5598206799996</v>
      </c>
      <c r="E4" s="34">
        <f>+F7</f>
        <v>2322.9821991399995</v>
      </c>
      <c r="F4" s="34">
        <v>2342.0646090100036</v>
      </c>
    </row>
    <row r="5" spans="1:6" x14ac:dyDescent="0.35">
      <c r="A5" t="s">
        <v>124</v>
      </c>
      <c r="B5" s="12">
        <v>18.251963229997287</v>
      </c>
      <c r="C5" s="12">
        <v>14.460061539991628</v>
      </c>
      <c r="D5" s="12">
        <v>35.601309910000438</v>
      </c>
      <c r="E5" s="12">
        <v>41.971379520000013</v>
      </c>
      <c r="F5" s="12">
        <v>46.903015139995659</v>
      </c>
    </row>
    <row r="6" spans="1:6" x14ac:dyDescent="0.35">
      <c r="A6" t="s">
        <v>125</v>
      </c>
      <c r="B6" s="12">
        <v>-74.813915860000193</v>
      </c>
      <c r="C6" s="12">
        <v>-163.97420575999996</v>
      </c>
      <c r="D6" s="12">
        <v>-151.34453572000001</v>
      </c>
      <c r="E6" s="12">
        <v>-156.39375798</v>
      </c>
      <c r="F6" s="12">
        <v>-65.985425009999886</v>
      </c>
    </row>
    <row r="7" spans="1:6" x14ac:dyDescent="0.35">
      <c r="A7" s="26" t="s">
        <v>137</v>
      </c>
      <c r="B7" s="30">
        <f>+'Adjudicados (I)'!B8</f>
        <v>1886.7404980199885</v>
      </c>
      <c r="C7" s="30">
        <f>+'Adjudicados (I)'!C8</f>
        <v>1943.3024506499914</v>
      </c>
      <c r="D7" s="30">
        <v>2092.8165948699998</v>
      </c>
      <c r="E7" s="30">
        <f>+'Adjudicados (I)'!D8</f>
        <v>2208.5598206799996</v>
      </c>
      <c r="F7" s="30">
        <f>'Adjudicados (I)'!E8</f>
        <v>2322.9821991399995</v>
      </c>
    </row>
    <row r="8" spans="1:6" x14ac:dyDescent="0.35">
      <c r="A8" s="1" t="s">
        <v>138</v>
      </c>
      <c r="B8" s="102">
        <f>-B6/B4</f>
        <v>3.8498338657977096E-2</v>
      </c>
      <c r="C8" s="102">
        <f>-C6/C4</f>
        <v>7.8350967859266998E-2</v>
      </c>
      <c r="D8" s="102">
        <f t="shared" ref="D8:F8" si="1">-D6/D4</f>
        <v>6.8526346582453962E-2</v>
      </c>
      <c r="E8" s="102">
        <f t="shared" si="1"/>
        <v>6.7324561521779708E-2</v>
      </c>
      <c r="F8" s="102">
        <f t="shared" si="1"/>
        <v>2.817404129508284E-2</v>
      </c>
    </row>
    <row r="9" spans="1:6" x14ac:dyDescent="0.35">
      <c r="B9" s="127"/>
      <c r="C9" s="127"/>
      <c r="D9" s="127"/>
      <c r="E9" s="127"/>
      <c r="F9" s="127"/>
    </row>
    <row r="10" spans="1:6" x14ac:dyDescent="0.35">
      <c r="F10" s="128"/>
    </row>
    <row r="11" spans="1:6" x14ac:dyDescent="0.35">
      <c r="F11" s="12"/>
    </row>
    <row r="70" spans="1:4" x14ac:dyDescent="0.35">
      <c r="A70" s="76"/>
      <c r="B70" s="76"/>
      <c r="C70" s="76"/>
      <c r="D70" s="76"/>
    </row>
  </sheetData>
  <pageMargins left="0.70866141732283472" right="0.70866141732283472" top="0.74803149606299213" bottom="0.74803149606299213" header="0.31496062992125984" footer="0.31496062992125984"/>
  <pageSetup paperSize="9" scale="67" orientation="portrait" horizontalDpi="4294967294" verticalDpi="4294967294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G56"/>
  <sheetViews>
    <sheetView showGridLines="0" zoomScale="85" zoomScaleNormal="8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2" sqref="B2"/>
    </sheetView>
  </sheetViews>
  <sheetFormatPr baseColWidth="10" defaultRowHeight="14.5" x14ac:dyDescent="0.35"/>
  <cols>
    <col min="1" max="1" width="72.7265625" customWidth="1"/>
    <col min="2" max="2" width="11.54296875" customWidth="1"/>
    <col min="3" max="3" width="11.26953125" bestFit="1" customWidth="1"/>
    <col min="4" max="4" width="11.26953125" customWidth="1"/>
    <col min="5" max="5" width="11.26953125" bestFit="1" customWidth="1"/>
    <col min="6" max="8" width="10.7265625" customWidth="1"/>
  </cols>
  <sheetData>
    <row r="1" spans="1:5" ht="16.5" customHeight="1" x14ac:dyDescent="0.35">
      <c r="A1" s="84" t="s">
        <v>14</v>
      </c>
      <c r="B1" s="84"/>
      <c r="D1" s="136" t="s">
        <v>139</v>
      </c>
      <c r="E1" s="136"/>
    </row>
    <row r="2" spans="1:5" x14ac:dyDescent="0.35">
      <c r="A2" s="20" t="s">
        <v>49</v>
      </c>
      <c r="B2" s="8">
        <f>MAX(Relevantes!$2:$2)</f>
        <v>44834</v>
      </c>
      <c r="C2" s="8">
        <f>EOMONTH(B2,-12)</f>
        <v>44469</v>
      </c>
      <c r="D2" s="9" t="s">
        <v>140</v>
      </c>
      <c r="E2" s="9" t="s">
        <v>141</v>
      </c>
    </row>
    <row r="3" spans="1:5" ht="22.5" customHeight="1" x14ac:dyDescent="0.35">
      <c r="A3" t="s">
        <v>142</v>
      </c>
      <c r="B3" s="12">
        <v>881.44916150999995</v>
      </c>
      <c r="C3" s="12">
        <v>911.68848429000002</v>
      </c>
      <c r="D3" s="12">
        <f t="shared" ref="D3:D26" si="0">+B3-C3</f>
        <v>-30.239322780000066</v>
      </c>
      <c r="E3" s="113">
        <f t="shared" ref="E3:E23" si="1">+D3/C3</f>
        <v>-3.3168481670084585E-2</v>
      </c>
    </row>
    <row r="4" spans="1:5" x14ac:dyDescent="0.35">
      <c r="A4" t="s">
        <v>143</v>
      </c>
      <c r="B4" s="12">
        <v>-116.68373511</v>
      </c>
      <c r="C4" s="12">
        <v>-118.34459551</v>
      </c>
      <c r="D4" s="12">
        <f t="shared" si="0"/>
        <v>1.6608604000000042</v>
      </c>
      <c r="E4" s="113">
        <f t="shared" si="1"/>
        <v>-1.4034104327642601E-2</v>
      </c>
    </row>
    <row r="5" spans="1:5" x14ac:dyDescent="0.35">
      <c r="A5" s="26" t="s">
        <v>144</v>
      </c>
      <c r="B5" s="30">
        <v>764.76542640000002</v>
      </c>
      <c r="C5" s="30">
        <v>793.34388877999993</v>
      </c>
      <c r="D5" s="30">
        <f t="shared" si="0"/>
        <v>-28.578462379999905</v>
      </c>
      <c r="E5" s="32">
        <f t="shared" si="1"/>
        <v>-3.6022792617647452E-2</v>
      </c>
    </row>
    <row r="6" spans="1:5" x14ac:dyDescent="0.35">
      <c r="A6" t="s">
        <v>145</v>
      </c>
      <c r="B6" s="12">
        <v>15.682589</v>
      </c>
      <c r="C6" s="12">
        <v>18.733099170000003</v>
      </c>
      <c r="D6" s="12">
        <f t="shared" si="0"/>
        <v>-3.0505101700000026</v>
      </c>
      <c r="E6" s="113">
        <f t="shared" si="1"/>
        <v>-0.16284065665361031</v>
      </c>
    </row>
    <row r="7" spans="1:5" x14ac:dyDescent="0.35">
      <c r="A7" t="s">
        <v>146</v>
      </c>
      <c r="B7" s="12">
        <v>52.138734405699999</v>
      </c>
      <c r="C7" s="12">
        <v>48.510878171460604</v>
      </c>
      <c r="D7" s="12">
        <f t="shared" si="0"/>
        <v>3.6278562342393954</v>
      </c>
      <c r="E7" s="113">
        <f t="shared" si="1"/>
        <v>7.4784385914780177E-2</v>
      </c>
    </row>
    <row r="8" spans="1:5" x14ac:dyDescent="0.35">
      <c r="A8" t="s">
        <v>147</v>
      </c>
      <c r="B8" s="12">
        <v>394.18062400000002</v>
      </c>
      <c r="C8" s="12">
        <v>355.02827524142896</v>
      </c>
      <c r="D8" s="12">
        <f t="shared" si="0"/>
        <v>39.152348758571065</v>
      </c>
      <c r="E8" s="113">
        <f t="shared" si="1"/>
        <v>0.11027952275617033</v>
      </c>
    </row>
    <row r="9" spans="1:5" x14ac:dyDescent="0.35">
      <c r="A9" t="s">
        <v>148</v>
      </c>
      <c r="B9" s="12">
        <v>38.728668590000005</v>
      </c>
      <c r="C9" s="12">
        <v>25.615389140000005</v>
      </c>
      <c r="D9" s="12">
        <f t="shared" si="0"/>
        <v>13.11327945</v>
      </c>
      <c r="E9" s="113">
        <f t="shared" si="1"/>
        <v>0.51192973795283114</v>
      </c>
    </row>
    <row r="10" spans="1:5" x14ac:dyDescent="0.35">
      <c r="A10" t="s">
        <v>149</v>
      </c>
      <c r="B10" s="12">
        <v>-21.250655380000019</v>
      </c>
      <c r="C10" s="12">
        <v>-37.28602660228848</v>
      </c>
      <c r="D10" s="12">
        <f t="shared" si="0"/>
        <v>16.035371222288461</v>
      </c>
      <c r="E10" s="113">
        <f t="shared" si="1"/>
        <v>-0.43006382507124719</v>
      </c>
    </row>
    <row r="11" spans="1:5" x14ac:dyDescent="0.35">
      <c r="A11" s="26" t="s">
        <v>150</v>
      </c>
      <c r="B11" s="30">
        <v>1244.2453870157001</v>
      </c>
      <c r="C11" s="30">
        <v>1203.9455039006009</v>
      </c>
      <c r="D11" s="30">
        <f t="shared" si="0"/>
        <v>40.299883115099192</v>
      </c>
      <c r="E11" s="32">
        <f>+D11/C11</f>
        <v>3.3473178797988515E-2</v>
      </c>
    </row>
    <row r="12" spans="1:5" x14ac:dyDescent="0.35">
      <c r="A12" t="s">
        <v>151</v>
      </c>
      <c r="B12" s="12">
        <v>-585.64876608999998</v>
      </c>
      <c r="C12" s="12">
        <v>-640.01172840752065</v>
      </c>
      <c r="D12" s="12">
        <f t="shared" si="0"/>
        <v>54.362962317520669</v>
      </c>
      <c r="E12" s="113">
        <f t="shared" si="1"/>
        <v>-8.4940572031057579E-2</v>
      </c>
    </row>
    <row r="13" spans="1:5" x14ac:dyDescent="0.35">
      <c r="A13" s="7" t="s">
        <v>152</v>
      </c>
      <c r="B13" s="12">
        <v>-382.72490099999999</v>
      </c>
      <c r="C13" s="12">
        <v>-431.51883709569995</v>
      </c>
      <c r="D13" s="12">
        <f t="shared" si="0"/>
        <v>48.793936095699962</v>
      </c>
      <c r="E13" s="113">
        <f t="shared" si="1"/>
        <v>-0.11307486927825286</v>
      </c>
    </row>
    <row r="14" spans="1:5" x14ac:dyDescent="0.35">
      <c r="A14" s="7" t="s">
        <v>153</v>
      </c>
      <c r="B14" s="12">
        <v>-202.92386508999999</v>
      </c>
      <c r="C14" s="12">
        <v>-208.4928913118207</v>
      </c>
      <c r="D14" s="12">
        <f t="shared" si="0"/>
        <v>5.5690262218207067</v>
      </c>
      <c r="E14" s="113">
        <f t="shared" si="1"/>
        <v>-2.67108685901991E-2</v>
      </c>
    </row>
    <row r="15" spans="1:5" x14ac:dyDescent="0.35">
      <c r="A15" t="s">
        <v>154</v>
      </c>
      <c r="B15" s="12">
        <v>-68.133225409999994</v>
      </c>
      <c r="C15" s="12">
        <v>-74.002322450000008</v>
      </c>
      <c r="D15" s="12">
        <f t="shared" si="0"/>
        <v>5.869097040000014</v>
      </c>
      <c r="E15" s="113">
        <f t="shared" si="1"/>
        <v>-7.9309633072198446E-2</v>
      </c>
    </row>
    <row r="16" spans="1:5" x14ac:dyDescent="0.35">
      <c r="A16" s="26" t="s">
        <v>155</v>
      </c>
      <c r="B16" s="30">
        <v>590.46339551570009</v>
      </c>
      <c r="C16" s="30">
        <v>489.93145304308024</v>
      </c>
      <c r="D16" s="30">
        <f t="shared" si="0"/>
        <v>100.53194247261985</v>
      </c>
      <c r="E16" s="32">
        <f t="shared" si="1"/>
        <v>0.20519593475412151</v>
      </c>
    </row>
    <row r="17" spans="1:7" x14ac:dyDescent="0.35">
      <c r="A17" t="s">
        <v>156</v>
      </c>
      <c r="B17" s="12">
        <v>-83.596043000000009</v>
      </c>
      <c r="C17" s="12">
        <v>-65.380811179999995</v>
      </c>
      <c r="D17" s="12">
        <f t="shared" si="0"/>
        <v>-18.215231820000014</v>
      </c>
      <c r="E17" s="113">
        <f t="shared" si="1"/>
        <v>0.27860210803826885</v>
      </c>
    </row>
    <row r="18" spans="1:7" x14ac:dyDescent="0.35">
      <c r="A18" t="s">
        <v>157</v>
      </c>
      <c r="B18" s="12">
        <v>-128.86101744999999</v>
      </c>
      <c r="C18" s="12">
        <v>-214.3838847732188</v>
      </c>
      <c r="D18" s="12">
        <f t="shared" si="0"/>
        <v>85.522867323218804</v>
      </c>
      <c r="E18" s="113">
        <f t="shared" si="1"/>
        <v>-0.39892395556544402</v>
      </c>
    </row>
    <row r="19" spans="1:7" x14ac:dyDescent="0.35">
      <c r="A19" s="26" t="s">
        <v>158</v>
      </c>
      <c r="B19" s="30">
        <v>378.00633506570011</v>
      </c>
      <c r="C19" s="30">
        <v>210.16675708986148</v>
      </c>
      <c r="D19" s="30">
        <f t="shared" si="0"/>
        <v>167.83957797583864</v>
      </c>
      <c r="E19" s="32">
        <f t="shared" si="1"/>
        <v>0.79860193067581609</v>
      </c>
    </row>
    <row r="20" spans="1:7" x14ac:dyDescent="0.35">
      <c r="A20" t="s">
        <v>159</v>
      </c>
      <c r="B20" s="12">
        <v>-21.412280999999997</v>
      </c>
      <c r="C20" s="12">
        <v>-6.086406110497621</v>
      </c>
      <c r="D20" s="12">
        <f t="shared" si="0"/>
        <v>-15.325874889502376</v>
      </c>
      <c r="E20" s="113">
        <f t="shared" si="1"/>
        <v>2.5180499972009494</v>
      </c>
    </row>
    <row r="21" spans="1:7" x14ac:dyDescent="0.35">
      <c r="A21" s="26" t="s">
        <v>160</v>
      </c>
      <c r="B21" s="30">
        <v>356.59405406570011</v>
      </c>
      <c r="C21" s="30">
        <v>204.08035097936386</v>
      </c>
      <c r="D21" s="30">
        <f t="shared" si="0"/>
        <v>152.51370308633625</v>
      </c>
      <c r="E21" s="32">
        <f t="shared" si="1"/>
        <v>0.74732183845449229</v>
      </c>
    </row>
    <row r="22" spans="1:7" x14ac:dyDescent="0.35">
      <c r="A22" t="s">
        <v>161</v>
      </c>
      <c r="B22" s="12">
        <v>-96.418905933000005</v>
      </c>
      <c r="C22" s="12">
        <v>-48.404233110520401</v>
      </c>
      <c r="D22" s="12">
        <f t="shared" si="0"/>
        <v>-48.014672822479604</v>
      </c>
      <c r="E22" s="113">
        <f t="shared" si="1"/>
        <v>0.99195193760943756</v>
      </c>
    </row>
    <row r="23" spans="1:7" x14ac:dyDescent="0.35">
      <c r="A23" s="26" t="s">
        <v>162</v>
      </c>
      <c r="B23" s="30">
        <v>260.17514813270009</v>
      </c>
      <c r="C23" s="30">
        <v>155.67611786884345</v>
      </c>
      <c r="D23" s="30">
        <f t="shared" si="0"/>
        <v>104.49903026385664</v>
      </c>
      <c r="E23" s="32">
        <f t="shared" si="1"/>
        <v>0.67125922520689196</v>
      </c>
    </row>
    <row r="24" spans="1:7" ht="15" customHeight="1" x14ac:dyDescent="0.35">
      <c r="A24" t="s">
        <v>163</v>
      </c>
      <c r="B24" s="12"/>
      <c r="C24" s="12"/>
      <c r="D24" s="12"/>
      <c r="E24" s="113"/>
    </row>
    <row r="25" spans="1:7" ht="15" thickBot="1" x14ac:dyDescent="0.4">
      <c r="A25" s="26" t="s">
        <v>164</v>
      </c>
      <c r="B25" s="30">
        <v>260.17514813270009</v>
      </c>
      <c r="C25" s="30">
        <v>155.67611786884345</v>
      </c>
      <c r="D25" s="30">
        <f t="shared" si="0"/>
        <v>104.49903026385664</v>
      </c>
      <c r="E25" s="32">
        <f>+D25/C25</f>
        <v>0.67125922520689196</v>
      </c>
    </row>
    <row r="26" spans="1:7" x14ac:dyDescent="0.35">
      <c r="A26" s="53" t="s">
        <v>165</v>
      </c>
      <c r="B26" s="54">
        <v>260.17514813270009</v>
      </c>
      <c r="C26" s="54">
        <v>155.67611786884345</v>
      </c>
      <c r="D26" s="54">
        <f t="shared" si="0"/>
        <v>104.49903026385664</v>
      </c>
      <c r="E26" s="117">
        <f>+D26/C26</f>
        <v>0.67125922520689196</v>
      </c>
    </row>
    <row r="28" spans="1:7" x14ac:dyDescent="0.35">
      <c r="A28" s="1" t="s">
        <v>4</v>
      </c>
      <c r="B28" s="132">
        <f>B2</f>
        <v>44834</v>
      </c>
      <c r="C28" s="132">
        <f>EOMONTH(B28,-3)</f>
        <v>44742</v>
      </c>
      <c r="D28" s="132">
        <f t="shared" ref="D28:F28" si="2">EOMONTH(C28,-3)</f>
        <v>44651</v>
      </c>
      <c r="E28" s="132">
        <f t="shared" si="2"/>
        <v>44561</v>
      </c>
      <c r="F28" s="132">
        <f t="shared" si="2"/>
        <v>44469</v>
      </c>
      <c r="G28" s="73"/>
    </row>
    <row r="29" spans="1:7" x14ac:dyDescent="0.35">
      <c r="A29" s="1" t="s">
        <v>49</v>
      </c>
      <c r="B29" s="9" t="s">
        <v>250</v>
      </c>
      <c r="C29" s="9" t="s">
        <v>248</v>
      </c>
      <c r="D29" s="9" t="s">
        <v>246</v>
      </c>
      <c r="E29" s="9" t="s">
        <v>229</v>
      </c>
      <c r="F29" s="9" t="s">
        <v>220</v>
      </c>
    </row>
    <row r="30" spans="1:7" x14ac:dyDescent="0.35">
      <c r="A30" t="s">
        <v>142</v>
      </c>
      <c r="B30" s="12">
        <v>303.10011250999992</v>
      </c>
      <c r="C30" s="12">
        <v>301.45509300000003</v>
      </c>
      <c r="D30" s="12">
        <v>276.893956</v>
      </c>
      <c r="E30" s="12">
        <v>277.23137614999985</v>
      </c>
      <c r="F30" s="12">
        <v>284.43693424999969</v>
      </c>
    </row>
    <row r="31" spans="1:7" x14ac:dyDescent="0.35">
      <c r="A31" t="s">
        <v>143</v>
      </c>
      <c r="B31" s="12">
        <v>-39.89871084</v>
      </c>
      <c r="C31" s="12">
        <v>-34.464443819999993</v>
      </c>
      <c r="D31" s="12">
        <v>-42.320580450000001</v>
      </c>
      <c r="E31" s="12">
        <v>-42.492849259999986</v>
      </c>
      <c r="F31" s="12">
        <v>-33.632595510000002</v>
      </c>
    </row>
    <row r="32" spans="1:7" x14ac:dyDescent="0.35">
      <c r="A32" s="26" t="s">
        <v>144</v>
      </c>
      <c r="B32" s="30">
        <v>263.20140167</v>
      </c>
      <c r="C32" s="30">
        <v>266.99064917999999</v>
      </c>
      <c r="D32" s="30">
        <v>234.57337555000004</v>
      </c>
      <c r="E32" s="30">
        <v>234.73852689000012</v>
      </c>
      <c r="F32" s="30">
        <v>250.80433873999959</v>
      </c>
    </row>
    <row r="33" spans="1:6" x14ac:dyDescent="0.35">
      <c r="A33" t="s">
        <v>145</v>
      </c>
      <c r="B33" s="12">
        <v>3.2332790000000018</v>
      </c>
      <c r="C33" s="12">
        <v>11.669771999999998</v>
      </c>
      <c r="D33" s="12">
        <v>0.77953800000000006</v>
      </c>
      <c r="E33" s="12">
        <v>4.7949299999999972</v>
      </c>
      <c r="F33" s="12">
        <v>1.438099170000001</v>
      </c>
    </row>
    <row r="34" spans="1:6" x14ac:dyDescent="0.35">
      <c r="A34" t="s">
        <v>146</v>
      </c>
      <c r="B34" s="12">
        <v>11.010017047500003</v>
      </c>
      <c r="C34" s="12">
        <v>38.484048334149996</v>
      </c>
      <c r="D34" s="12">
        <v>2.6446690240500002</v>
      </c>
      <c r="E34" s="12">
        <v>9.5107633637999953</v>
      </c>
      <c r="F34" s="12">
        <v>15.325878171460602</v>
      </c>
    </row>
    <row r="35" spans="1:6" x14ac:dyDescent="0.35">
      <c r="A35" t="s">
        <v>147</v>
      </c>
      <c r="B35" s="12">
        <v>130.53235300000006</v>
      </c>
      <c r="C35" s="12">
        <v>130.45167400000003</v>
      </c>
      <c r="D35" s="12">
        <v>133.196597</v>
      </c>
      <c r="E35" s="12">
        <v>134.08717799999991</v>
      </c>
      <c r="F35" s="12">
        <v>121.20226454142899</v>
      </c>
    </row>
    <row r="36" spans="1:6" x14ac:dyDescent="0.35">
      <c r="A36" t="s">
        <v>148</v>
      </c>
      <c r="B36" s="12">
        <v>8.2331580000000173</v>
      </c>
      <c r="C36" s="12">
        <v>20.881090590000003</v>
      </c>
      <c r="D36" s="12">
        <v>9.6144199999999955</v>
      </c>
      <c r="E36" s="12">
        <v>21.118556000000002</v>
      </c>
      <c r="F36" s="12">
        <v>3.5433891400000044</v>
      </c>
    </row>
    <row r="37" spans="1:6" x14ac:dyDescent="0.35">
      <c r="A37" t="s">
        <v>166</v>
      </c>
      <c r="B37" s="12">
        <v>3.031367826046484</v>
      </c>
      <c r="C37" s="12">
        <v>-25.914643616119399</v>
      </c>
      <c r="D37" s="12">
        <v>1.6326204100728994</v>
      </c>
      <c r="E37" s="12">
        <v>-91.419467720000057</v>
      </c>
      <c r="F37" s="12">
        <v>-7.2089641522884875</v>
      </c>
    </row>
    <row r="38" spans="1:6" x14ac:dyDescent="0.35">
      <c r="A38" s="26" t="s">
        <v>150</v>
      </c>
      <c r="B38" s="30">
        <v>419.24157654354661</v>
      </c>
      <c r="C38" s="30">
        <v>442.56259048803059</v>
      </c>
      <c r="D38" s="30">
        <v>382.44121998412294</v>
      </c>
      <c r="E38" s="30">
        <v>312.83048653380001</v>
      </c>
      <c r="F38" s="30">
        <v>385.10500561060064</v>
      </c>
    </row>
    <row r="39" spans="1:6" x14ac:dyDescent="0.35">
      <c r="A39" t="s">
        <v>151</v>
      </c>
      <c r="B39" s="12">
        <v>-195.66555511999996</v>
      </c>
      <c r="C39" s="12">
        <v>-193.97891376000001</v>
      </c>
      <c r="D39" s="12">
        <v>-196.00429721</v>
      </c>
      <c r="E39" s="12">
        <v>-200.54144576000004</v>
      </c>
      <c r="F39" s="12">
        <v>-211.42514338752062</v>
      </c>
    </row>
    <row r="40" spans="1:6" x14ac:dyDescent="0.35">
      <c r="A40" s="7" t="s">
        <v>152</v>
      </c>
      <c r="B40" s="12">
        <v>-125.33040699999998</v>
      </c>
      <c r="C40" s="12">
        <v>-128.56642200000002</v>
      </c>
      <c r="D40" s="12">
        <v>-128.82807199999999</v>
      </c>
      <c r="E40" s="12">
        <v>-139.54222000000004</v>
      </c>
      <c r="F40" s="12">
        <v>-141.13983709569993</v>
      </c>
    </row>
    <row r="41" spans="1:6" x14ac:dyDescent="0.35">
      <c r="A41" s="7" t="s">
        <v>153</v>
      </c>
      <c r="B41" s="12">
        <v>-70.335148119999971</v>
      </c>
      <c r="C41" s="12">
        <v>-65.412491760000009</v>
      </c>
      <c r="D41" s="12">
        <v>-67.176225209999998</v>
      </c>
      <c r="E41" s="12">
        <v>-60.999225760000002</v>
      </c>
      <c r="F41" s="12">
        <v>-70.285306291820689</v>
      </c>
    </row>
    <row r="42" spans="1:6" x14ac:dyDescent="0.35">
      <c r="A42" t="s">
        <v>154</v>
      </c>
      <c r="B42" s="12">
        <v>-21.964841500000002</v>
      </c>
      <c r="C42" s="12">
        <v>-23.498677059999995</v>
      </c>
      <c r="D42" s="12">
        <v>-22.669706850000001</v>
      </c>
      <c r="E42" s="12">
        <v>-22.132140399999997</v>
      </c>
      <c r="F42" s="12">
        <v>-23.377322450000008</v>
      </c>
    </row>
    <row r="43" spans="1:6" x14ac:dyDescent="0.35">
      <c r="A43" s="26" t="s">
        <v>155</v>
      </c>
      <c r="B43" s="30">
        <v>201.61117992354667</v>
      </c>
      <c r="C43" s="30">
        <v>225.0849996680306</v>
      </c>
      <c r="D43" s="30">
        <v>163.76721592412292</v>
      </c>
      <c r="E43" s="30">
        <v>90.156900373799971</v>
      </c>
      <c r="F43" s="30">
        <v>150.30253977308001</v>
      </c>
    </row>
    <row r="44" spans="1:6" x14ac:dyDescent="0.35">
      <c r="A44" t="s">
        <v>156</v>
      </c>
      <c r="B44" s="12">
        <v>-31.963625000000011</v>
      </c>
      <c r="C44" s="12">
        <v>-24.636188239999999</v>
      </c>
      <c r="D44" s="12">
        <v>-26.996229760000002</v>
      </c>
      <c r="E44" s="12">
        <v>-34.248524610000047</v>
      </c>
      <c r="F44" s="12">
        <v>-11.913811179999996</v>
      </c>
    </row>
    <row r="45" spans="1:6" x14ac:dyDescent="0.35">
      <c r="A45" t="s">
        <v>157</v>
      </c>
      <c r="B45" s="12">
        <v>-39.884610000000002</v>
      </c>
      <c r="C45" s="12">
        <v>-38.370559609999994</v>
      </c>
      <c r="D45" s="12">
        <v>-50.605847840000003</v>
      </c>
      <c r="E45" s="12">
        <v>-56.173987390000008</v>
      </c>
      <c r="F45" s="12">
        <v>-56.747606753218406</v>
      </c>
    </row>
    <row r="46" spans="1:6" x14ac:dyDescent="0.35">
      <c r="A46" s="26" t="s">
        <v>158</v>
      </c>
      <c r="B46" s="30">
        <v>129.76294492354666</v>
      </c>
      <c r="C46" s="30">
        <v>162.07825181803062</v>
      </c>
      <c r="D46" s="30">
        <v>86.165138324122921</v>
      </c>
      <c r="E46" s="30">
        <v>-0.26561162620008361</v>
      </c>
      <c r="F46" s="30">
        <v>81.641121839861626</v>
      </c>
    </row>
    <row r="47" spans="1:6" x14ac:dyDescent="0.35">
      <c r="A47" t="s">
        <v>159</v>
      </c>
      <c r="B47" s="12">
        <v>1.6187187800000058</v>
      </c>
      <c r="C47" s="12">
        <v>-21.253270759999999</v>
      </c>
      <c r="D47" s="12">
        <v>-1.7777290199999993</v>
      </c>
      <c r="E47" s="12">
        <v>-23.340521009999993</v>
      </c>
      <c r="F47" s="12">
        <v>-10.170371020497623</v>
      </c>
    </row>
    <row r="48" spans="1:6" x14ac:dyDescent="0.35">
      <c r="A48" s="26" t="s">
        <v>160</v>
      </c>
      <c r="B48" s="30">
        <v>131.38166370354662</v>
      </c>
      <c r="C48" s="30">
        <v>140.82498105803063</v>
      </c>
      <c r="D48" s="30">
        <v>84.387409304122926</v>
      </c>
      <c r="E48" s="30">
        <v>-23.606132636200076</v>
      </c>
      <c r="F48" s="30">
        <v>71.470750819364</v>
      </c>
    </row>
    <row r="49" spans="1:6" x14ac:dyDescent="0.35">
      <c r="A49" t="s">
        <v>161</v>
      </c>
      <c r="B49" s="12">
        <v>-35.882904185814006</v>
      </c>
      <c r="C49" s="12">
        <v>-36.294859821164138</v>
      </c>
      <c r="D49" s="12">
        <v>-24.241141926021861</v>
      </c>
      <c r="E49" s="12">
        <v>5.4055055149999944</v>
      </c>
      <c r="F49" s="12">
        <v>-17.581632950520401</v>
      </c>
    </row>
    <row r="50" spans="1:6" x14ac:dyDescent="0.35">
      <c r="A50" s="26" t="s">
        <v>162</v>
      </c>
      <c r="B50" s="30">
        <v>95.498759517732594</v>
      </c>
      <c r="C50" s="30">
        <v>104.53012123686648</v>
      </c>
      <c r="D50" s="30">
        <v>60.146267378101065</v>
      </c>
      <c r="E50" s="30">
        <v>-18.200627121200082</v>
      </c>
      <c r="F50" s="30">
        <v>53.889117868843599</v>
      </c>
    </row>
    <row r="51" spans="1:6" x14ac:dyDescent="0.35">
      <c r="A51" t="s">
        <v>163</v>
      </c>
      <c r="B51" s="12"/>
      <c r="C51" s="12"/>
      <c r="D51" s="12"/>
      <c r="E51" s="12"/>
      <c r="F51" s="12"/>
    </row>
    <row r="52" spans="1:6" x14ac:dyDescent="0.35">
      <c r="A52" s="26" t="s">
        <v>164</v>
      </c>
      <c r="B52" s="30">
        <v>95.498759517732594</v>
      </c>
      <c r="C52" s="30">
        <v>104.53012123686648</v>
      </c>
      <c r="D52" s="30">
        <v>60.146267378101065</v>
      </c>
      <c r="E52" s="30">
        <v>-18.200627121200082</v>
      </c>
      <c r="F52" s="30">
        <v>53.889117868843599</v>
      </c>
    </row>
    <row r="53" spans="1:6" x14ac:dyDescent="0.35">
      <c r="A53" s="104" t="s">
        <v>165</v>
      </c>
      <c r="B53" s="105">
        <v>95.498759517732594</v>
      </c>
      <c r="C53" s="105">
        <v>104.53012123686648</v>
      </c>
      <c r="D53" s="105">
        <v>60.146267378101065</v>
      </c>
      <c r="E53" s="105">
        <v>-18.200627121200082</v>
      </c>
      <c r="F53" s="105">
        <v>53.889117868843599</v>
      </c>
    </row>
    <row r="56" spans="1:6" x14ac:dyDescent="0.35">
      <c r="C56" s="12"/>
    </row>
  </sheetData>
  <mergeCells count="1">
    <mergeCell ref="D1:E1"/>
  </mergeCells>
  <pageMargins left="0.70866141732283472" right="0.70866141732283472" top="0.74803149606299213" bottom="0.74803149606299213" header="0.31496062992125984" footer="0.31496062992125984"/>
  <pageSetup paperSize="9" scale="63" orientation="portrait" horizontalDpi="4294967294" verticalDpi="4294967294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T24"/>
  <sheetViews>
    <sheetView showGridLines="0" tabSelected="1" zoomScale="85" zoomScaleNormal="85" workbookViewId="0">
      <pane xSplit="1" ySplit="3" topLeftCell="B4" activePane="bottomRight" state="frozen"/>
      <selection pane="topRight" activeCell="B1" sqref="B1"/>
      <selection pane="bottomLeft" activeCell="A3" sqref="A3"/>
      <selection pane="bottomRight" activeCell="D11" sqref="D11"/>
    </sheetView>
  </sheetViews>
  <sheetFormatPr baseColWidth="10" defaultRowHeight="14.5" x14ac:dyDescent="0.35"/>
  <cols>
    <col min="1" max="1" width="32.26953125" customWidth="1"/>
    <col min="2" max="2" width="9.453125" customWidth="1"/>
    <col min="3" max="3" width="5.7265625" customWidth="1"/>
    <col min="4" max="4" width="7.81640625" bestFit="1" customWidth="1"/>
    <col min="5" max="5" width="1.7265625" customWidth="1"/>
    <col min="6" max="6" width="9.453125" customWidth="1"/>
    <col min="7" max="7" width="5.7265625" customWidth="1"/>
    <col min="8" max="8" width="7.81640625" bestFit="1" customWidth="1"/>
    <col min="9" max="9" width="1.7265625" customWidth="1"/>
    <col min="10" max="10" width="9.453125" customWidth="1"/>
    <col min="11" max="11" width="5.7265625" customWidth="1"/>
    <col min="12" max="12" width="7.81640625" bestFit="1" customWidth="1"/>
    <col min="13" max="13" width="1.7265625" customWidth="1"/>
    <col min="14" max="14" width="9.453125" customWidth="1"/>
    <col min="15" max="15" width="5.7265625" customWidth="1"/>
    <col min="16" max="16" width="7.81640625" bestFit="1" customWidth="1"/>
    <col min="17" max="17" width="1.7265625" customWidth="1"/>
    <col min="18" max="18" width="9.453125" customWidth="1"/>
    <col min="19" max="19" width="5.7265625" customWidth="1"/>
    <col min="20" max="20" width="7.81640625" bestFit="1" customWidth="1"/>
  </cols>
  <sheetData>
    <row r="1" spans="1:20" x14ac:dyDescent="0.35">
      <c r="B1" s="132">
        <f>MAX(Relevantes!$2:$2)</f>
        <v>44834</v>
      </c>
      <c r="F1" s="132">
        <f>EOMONTH(B1,-3)</f>
        <v>44742</v>
      </c>
      <c r="J1" s="132">
        <f>EOMONTH(F1,-3)</f>
        <v>44651</v>
      </c>
      <c r="N1" s="132">
        <f>EOMONTH(J1,-3)</f>
        <v>44561</v>
      </c>
      <c r="R1" s="132">
        <f>EOMONTH(N1,-3)</f>
        <v>44469</v>
      </c>
    </row>
    <row r="2" spans="1:20" ht="15.5" x14ac:dyDescent="0.35">
      <c r="A2" s="19" t="s">
        <v>167</v>
      </c>
      <c r="B2" s="133" t="str">
        <f>B1&amp;B4</f>
        <v>44834S.medio</v>
      </c>
      <c r="C2" s="133" t="str">
        <f>B1&amp;C4</f>
        <v>44834IF/CF</v>
      </c>
      <c r="D2" s="133" t="str">
        <f>B1&amp;D4</f>
        <v>44834Tipo(%)</v>
      </c>
      <c r="E2" s="19"/>
      <c r="F2" s="133" t="str">
        <f>F1&amp;F4</f>
        <v>44742S.medio</v>
      </c>
      <c r="G2" s="133" t="str">
        <f>F1&amp;G4</f>
        <v>44742IF/CF</v>
      </c>
      <c r="H2" s="133" t="str">
        <f>F1&amp;H4</f>
        <v>44742Tipo(%)</v>
      </c>
      <c r="I2" s="19"/>
      <c r="J2" s="133" t="str">
        <f>J1&amp;J4</f>
        <v>44651S.medio</v>
      </c>
      <c r="K2" s="133" t="str">
        <f>J1&amp;K4</f>
        <v>44651IF/CF</v>
      </c>
      <c r="L2" s="133" t="str">
        <f>J1&amp;L4</f>
        <v>44651Tipo(%)</v>
      </c>
      <c r="M2" s="19"/>
      <c r="N2" s="133" t="str">
        <f>N1&amp;N4</f>
        <v>44561S.medio</v>
      </c>
      <c r="O2" s="133" t="str">
        <f>N1&amp;O4</f>
        <v>44561IF/CF</v>
      </c>
      <c r="P2" s="133" t="str">
        <f>N1&amp;P4</f>
        <v>44561Tipo(%)</v>
      </c>
      <c r="Q2" s="19"/>
      <c r="R2" s="133" t="str">
        <f>R1&amp;R4</f>
        <v>44469S.medio</v>
      </c>
      <c r="S2" s="133" t="str">
        <f>R1&amp;S4</f>
        <v>44469IF/CF</v>
      </c>
      <c r="T2" s="133" t="str">
        <f>R1&amp;T4</f>
        <v>44469Tipo(%)</v>
      </c>
    </row>
    <row r="3" spans="1:20" x14ac:dyDescent="0.35">
      <c r="A3" s="20" t="s">
        <v>168</v>
      </c>
      <c r="B3" s="136" t="s">
        <v>250</v>
      </c>
      <c r="C3" s="136"/>
      <c r="D3" s="136"/>
      <c r="E3" s="20"/>
      <c r="F3" s="136" t="s">
        <v>248</v>
      </c>
      <c r="G3" s="136"/>
      <c r="H3" s="136"/>
      <c r="I3" s="20"/>
      <c r="J3" s="136" t="s">
        <v>246</v>
      </c>
      <c r="K3" s="136"/>
      <c r="L3" s="136"/>
      <c r="M3" s="20"/>
      <c r="N3" s="136" t="s">
        <v>229</v>
      </c>
      <c r="O3" s="136"/>
      <c r="P3" s="136"/>
      <c r="Q3" s="20"/>
      <c r="R3" s="136" t="s">
        <v>220</v>
      </c>
      <c r="S3" s="136"/>
      <c r="T3" s="136"/>
    </row>
    <row r="4" spans="1:20" ht="30" customHeight="1" x14ac:dyDescent="0.35">
      <c r="B4" s="90" t="s">
        <v>169</v>
      </c>
      <c r="C4" s="90" t="s">
        <v>170</v>
      </c>
      <c r="D4" s="90" t="s">
        <v>171</v>
      </c>
      <c r="E4" s="91"/>
      <c r="F4" s="90" t="s">
        <v>169</v>
      </c>
      <c r="G4" s="90" t="s">
        <v>170</v>
      </c>
      <c r="H4" s="90" t="s">
        <v>171</v>
      </c>
      <c r="I4" s="91"/>
      <c r="J4" s="90" t="s">
        <v>169</v>
      </c>
      <c r="K4" s="90" t="s">
        <v>170</v>
      </c>
      <c r="L4" s="90" t="s">
        <v>171</v>
      </c>
      <c r="M4" s="91"/>
      <c r="N4" s="90" t="s">
        <v>169</v>
      </c>
      <c r="O4" s="90" t="s">
        <v>170</v>
      </c>
      <c r="P4" s="90" t="s">
        <v>171</v>
      </c>
      <c r="Q4" s="91"/>
      <c r="R4" s="90" t="s">
        <v>169</v>
      </c>
      <c r="S4" s="90" t="s">
        <v>170</v>
      </c>
      <c r="T4" s="90" t="s">
        <v>171</v>
      </c>
    </row>
    <row r="5" spans="1:20" x14ac:dyDescent="0.35">
      <c r="A5" t="s">
        <v>172</v>
      </c>
      <c r="B5" s="12">
        <v>16937.604244679242</v>
      </c>
      <c r="C5" s="12">
        <v>2.1315708499999966</v>
      </c>
      <c r="D5" s="75">
        <v>4.9928995463144624E-2</v>
      </c>
      <c r="E5" s="75"/>
      <c r="F5" s="12">
        <v>13918.800382885</v>
      </c>
      <c r="G5" s="12">
        <v>-7.4931986099999994</v>
      </c>
      <c r="H5" s="75">
        <v>-0.21593195142610772</v>
      </c>
      <c r="I5" s="75"/>
      <c r="J5" s="12">
        <v>15495.60315149161</v>
      </c>
      <c r="K5" s="12">
        <v>-14.049375069999998</v>
      </c>
      <c r="L5" s="75">
        <v>-0.36770444209354636</v>
      </c>
      <c r="M5" s="75"/>
      <c r="N5" s="12">
        <v>16614.380198573217</v>
      </c>
      <c r="O5" s="12">
        <v>-13.712478610000002</v>
      </c>
      <c r="P5" s="75">
        <v>-0.32744386337710923</v>
      </c>
      <c r="Q5" s="75"/>
      <c r="R5" s="12">
        <v>11027.511572397145</v>
      </c>
      <c r="S5" s="12">
        <v>-4.5458196499999923</v>
      </c>
      <c r="T5" s="75">
        <v>-0.1635459208738152</v>
      </c>
    </row>
    <row r="6" spans="1:20" x14ac:dyDescent="0.35">
      <c r="A6" t="s">
        <v>173</v>
      </c>
      <c r="B6" s="12">
        <v>27158.767989463835</v>
      </c>
      <c r="C6" s="12">
        <v>101.63160502999997</v>
      </c>
      <c r="D6" s="75">
        <v>1.4846488846598629</v>
      </c>
      <c r="E6" s="75"/>
      <c r="F6" s="12">
        <v>25551.293001150771</v>
      </c>
      <c r="G6" s="12">
        <v>75.927314329999987</v>
      </c>
      <c r="H6" s="75">
        <v>1.1918912416597567</v>
      </c>
      <c r="I6" s="75"/>
      <c r="J6" s="12">
        <v>25165.97718070167</v>
      </c>
      <c r="K6" s="12">
        <v>57.600282239999999</v>
      </c>
      <c r="L6" s="75">
        <v>0.92824189961967851</v>
      </c>
      <c r="M6" s="75"/>
      <c r="N6" s="12">
        <v>25552.897790566672</v>
      </c>
      <c r="O6" s="12">
        <v>52.624823909999975</v>
      </c>
      <c r="P6" s="75">
        <v>0.81706298238490072</v>
      </c>
      <c r="Q6" s="75"/>
      <c r="R6" s="12">
        <v>29705.420610010242</v>
      </c>
      <c r="S6" s="12">
        <v>56.696083279999961</v>
      </c>
      <c r="T6" s="75">
        <v>0.75722054485857848</v>
      </c>
    </row>
    <row r="7" spans="1:20" x14ac:dyDescent="0.35">
      <c r="A7" s="93" t="s">
        <v>174</v>
      </c>
      <c r="B7" s="94">
        <v>55432.267456459806</v>
      </c>
      <c r="C7" s="94">
        <v>198.08344168999977</v>
      </c>
      <c r="D7" s="95">
        <v>1.4177203281707229</v>
      </c>
      <c r="E7" s="95"/>
      <c r="F7" s="94">
        <v>55759.87505271734</v>
      </c>
      <c r="G7" s="94">
        <v>192.48862471000001</v>
      </c>
      <c r="H7" s="95">
        <v>1.3846332290419519</v>
      </c>
      <c r="I7" s="95"/>
      <c r="J7" s="94">
        <v>55340.012389694559</v>
      </c>
      <c r="K7" s="94">
        <v>183.46171658</v>
      </c>
      <c r="L7" s="95">
        <v>1.3444868401336554</v>
      </c>
      <c r="M7" s="95"/>
      <c r="N7" s="94">
        <v>55325.960293802047</v>
      </c>
      <c r="O7" s="94">
        <v>189.69902508499985</v>
      </c>
      <c r="P7" s="95">
        <v>1.3603202882857157</v>
      </c>
      <c r="Q7" s="95"/>
      <c r="R7" s="94">
        <v>55261.405888324873</v>
      </c>
      <c r="S7" s="94">
        <v>193.02765987500007</v>
      </c>
      <c r="T7" s="95">
        <v>1.3858066890919976</v>
      </c>
    </row>
    <row r="8" spans="1:20" x14ac:dyDescent="0.35">
      <c r="A8" t="s">
        <v>175</v>
      </c>
      <c r="B8" s="12"/>
      <c r="C8" s="12">
        <v>2.1096730000003845E-2</v>
      </c>
      <c r="D8" s="75"/>
      <c r="E8" s="75"/>
      <c r="F8" s="12"/>
      <c r="G8" s="12">
        <v>-0.97228329999999041</v>
      </c>
      <c r="H8" s="75"/>
      <c r="I8" s="75"/>
      <c r="J8" s="12"/>
      <c r="K8" s="12">
        <v>0.21581860999999777</v>
      </c>
      <c r="L8" s="75"/>
      <c r="M8" s="75"/>
      <c r="N8" s="12"/>
      <c r="O8" s="12">
        <v>0.56351946000000219</v>
      </c>
      <c r="P8" s="75"/>
      <c r="Q8" s="75"/>
      <c r="R8" s="12"/>
      <c r="S8" s="12">
        <v>0.25634468099953955</v>
      </c>
      <c r="T8" s="75"/>
    </row>
    <row r="9" spans="1:20" x14ac:dyDescent="0.35">
      <c r="A9" s="26" t="s">
        <v>64</v>
      </c>
      <c r="B9" s="30">
        <v>113893.71289117049</v>
      </c>
      <c r="C9" s="30">
        <v>301.86771429999976</v>
      </c>
      <c r="D9" s="55"/>
      <c r="E9" s="55"/>
      <c r="F9" s="30">
        <v>112727.5273547609</v>
      </c>
      <c r="G9" s="30">
        <v>259.95045712999996</v>
      </c>
      <c r="H9" s="55"/>
      <c r="I9" s="55"/>
      <c r="J9" s="30">
        <v>112471.46848203514</v>
      </c>
      <c r="K9" s="30">
        <v>227.22844235999997</v>
      </c>
      <c r="L9" s="55"/>
      <c r="M9" s="55"/>
      <c r="N9" s="30">
        <v>112017.79386552292</v>
      </c>
      <c r="O9" s="30">
        <v>229.17488984499983</v>
      </c>
      <c r="P9" s="55"/>
      <c r="Q9" s="55"/>
      <c r="R9" s="30">
        <v>111047.34409709812</v>
      </c>
      <c r="S9" s="30">
        <v>245.43426818599957</v>
      </c>
      <c r="T9" s="55"/>
    </row>
    <row r="10" spans="1:20" x14ac:dyDescent="0.35">
      <c r="A10" t="s">
        <v>176</v>
      </c>
      <c r="B10" s="12">
        <v>21562.550543838748</v>
      </c>
      <c r="C10" s="12">
        <v>2.1392487599999948</v>
      </c>
      <c r="D10" s="56">
        <v>3.9361006533088355E-2</v>
      </c>
      <c r="E10" s="56"/>
      <c r="F10" s="12">
        <v>19393.566129755327</v>
      </c>
      <c r="G10" s="12">
        <v>-28.890210769999989</v>
      </c>
      <c r="H10" s="56">
        <v>-0.59750907671300091</v>
      </c>
      <c r="I10" s="56"/>
      <c r="J10" s="12">
        <v>17953.861977126555</v>
      </c>
      <c r="K10" s="12">
        <v>-33.171888989999999</v>
      </c>
      <c r="L10" s="56">
        <v>-0.74931198008016386</v>
      </c>
      <c r="M10" s="56"/>
      <c r="N10" s="12">
        <v>17478.920251191823</v>
      </c>
      <c r="O10" s="12">
        <v>-34.023973865000009</v>
      </c>
      <c r="P10" s="56">
        <v>-0.77228121709723174</v>
      </c>
      <c r="Q10" s="56"/>
      <c r="R10" s="12">
        <v>19397.982819864843</v>
      </c>
      <c r="S10" s="12">
        <v>-33.930215553999993</v>
      </c>
      <c r="T10" s="56">
        <v>-0.69396103395726627</v>
      </c>
    </row>
    <row r="11" spans="1:20" x14ac:dyDescent="0.35">
      <c r="A11" t="s">
        <v>177</v>
      </c>
      <c r="B11" s="12">
        <v>7642.1491744344057</v>
      </c>
      <c r="C11" s="12">
        <v>26.302754820000025</v>
      </c>
      <c r="D11" s="56">
        <v>1.3654970397903041</v>
      </c>
      <c r="E11" s="56"/>
      <c r="F11" s="12">
        <v>7216.0780348142316</v>
      </c>
      <c r="G11" s="12">
        <v>19.062662819999989</v>
      </c>
      <c r="H11" s="56">
        <v>1.0595801586723987</v>
      </c>
      <c r="I11" s="56"/>
      <c r="J11" s="12">
        <v>7173.944010539999</v>
      </c>
      <c r="K11" s="12">
        <v>17.6017963</v>
      </c>
      <c r="L11" s="56">
        <v>0.99506021607281681</v>
      </c>
      <c r="M11" s="56"/>
      <c r="N11" s="12">
        <v>7061.6493092580977</v>
      </c>
      <c r="O11" s="12">
        <v>19.051070289999974</v>
      </c>
      <c r="P11" s="56">
        <v>1.0703314098021377</v>
      </c>
      <c r="Q11" s="56"/>
      <c r="R11" s="12">
        <v>5976.6907453537488</v>
      </c>
      <c r="S11" s="12">
        <v>18.492985320000003</v>
      </c>
      <c r="T11" s="56">
        <v>1.2275841644816015</v>
      </c>
    </row>
    <row r="12" spans="1:20" x14ac:dyDescent="0.35">
      <c r="A12" s="93" t="s">
        <v>178</v>
      </c>
      <c r="B12" s="94">
        <v>69778.014323341617</v>
      </c>
      <c r="C12" s="94">
        <v>2.4282068899999949</v>
      </c>
      <c r="D12" s="96">
        <v>1.3806135061256514E-2</v>
      </c>
      <c r="E12" s="96"/>
      <c r="F12" s="94">
        <v>67646.808329029358</v>
      </c>
      <c r="G12" s="94">
        <v>-3.0548368200000011</v>
      </c>
      <c r="H12" s="96">
        <v>-1.8113074686077261E-2</v>
      </c>
      <c r="I12" s="96"/>
      <c r="J12" s="94">
        <v>71615.335838069528</v>
      </c>
      <c r="K12" s="94">
        <v>-0.44709615999999325</v>
      </c>
      <c r="L12" s="96">
        <v>-2.5318924980753197E-3</v>
      </c>
      <c r="M12" s="96"/>
      <c r="N12" s="94">
        <v>74025.989135392098</v>
      </c>
      <c r="O12" s="94">
        <v>1.1630394800000177</v>
      </c>
      <c r="P12" s="96">
        <v>6.2332604717053432E-3</v>
      </c>
      <c r="Q12" s="96"/>
      <c r="R12" s="94">
        <v>72098.868448921625</v>
      </c>
      <c r="S12" s="94">
        <v>1.644786349999984</v>
      </c>
      <c r="T12" s="96">
        <v>9.0507815211037998E-3</v>
      </c>
    </row>
    <row r="13" spans="1:20" x14ac:dyDescent="0.35">
      <c r="A13" s="7" t="s">
        <v>179</v>
      </c>
      <c r="B13" s="12">
        <v>57475.215580006356</v>
      </c>
      <c r="C13" s="12">
        <v>1.6570188900000007</v>
      </c>
      <c r="D13" s="56">
        <v>1.1438047285224925E-2</v>
      </c>
      <c r="E13" s="56"/>
      <c r="F13" s="12">
        <v>56241.787776042038</v>
      </c>
      <c r="G13" s="12">
        <v>-3.8838406000000001</v>
      </c>
      <c r="H13" s="56">
        <v>-2.7698340652088808E-2</v>
      </c>
      <c r="I13" s="56"/>
      <c r="J13" s="12">
        <v>57531.766199740094</v>
      </c>
      <c r="K13" s="12">
        <v>-0.65828047000000001</v>
      </c>
      <c r="L13" s="56">
        <v>-4.6403807732123522E-3</v>
      </c>
      <c r="M13" s="56"/>
      <c r="N13" s="12">
        <v>57399.766855769696</v>
      </c>
      <c r="O13" s="12">
        <v>0.28798436999999971</v>
      </c>
      <c r="P13" s="56">
        <v>1.990507536723975E-3</v>
      </c>
      <c r="Q13" s="56"/>
      <c r="R13" s="12">
        <v>56910.542678819795</v>
      </c>
      <c r="S13" s="12">
        <v>0.38186667000000007</v>
      </c>
      <c r="T13" s="56">
        <v>2.6620981538137732E-3</v>
      </c>
    </row>
    <row r="14" spans="1:20" x14ac:dyDescent="0.35">
      <c r="A14" s="7" t="s">
        <v>180</v>
      </c>
      <c r="B14" s="12">
        <v>5218.3181140368479</v>
      </c>
      <c r="C14" s="12">
        <v>0.62688018999999395</v>
      </c>
      <c r="D14" s="56">
        <v>4.7660548098511862E-2</v>
      </c>
      <c r="E14" s="56"/>
      <c r="F14" s="12">
        <v>5042.3462441716483</v>
      </c>
      <c r="G14" s="12">
        <v>0.34739640000000099</v>
      </c>
      <c r="H14" s="56">
        <v>2.7634023436366648E-2</v>
      </c>
      <c r="I14" s="56"/>
      <c r="J14" s="12">
        <v>6526.5966378421654</v>
      </c>
      <c r="K14" s="12">
        <v>0.86717900000000514</v>
      </c>
      <c r="L14" s="56">
        <v>5.3885551785438551E-2</v>
      </c>
      <c r="M14" s="56"/>
      <c r="N14" s="12">
        <v>6844.0759994444197</v>
      </c>
      <c r="O14" s="12">
        <v>1.0692380000000121</v>
      </c>
      <c r="P14" s="56">
        <v>6.1981859111772994E-2</v>
      </c>
      <c r="Q14" s="56"/>
      <c r="R14" s="12">
        <v>7104.3202571268284</v>
      </c>
      <c r="S14" s="12">
        <v>1.298086029999983</v>
      </c>
      <c r="T14" s="56">
        <v>7.2491315725118008E-2</v>
      </c>
    </row>
    <row r="15" spans="1:20" x14ac:dyDescent="0.35">
      <c r="A15" t="s">
        <v>181</v>
      </c>
      <c r="B15" s="12">
        <v>599.14200000000005</v>
      </c>
      <c r="C15" s="12">
        <v>4.8672312400000006</v>
      </c>
      <c r="D15" s="56">
        <v>3.2229773405680269</v>
      </c>
      <c r="E15" s="56"/>
      <c r="F15" s="12">
        <v>595.80672443406593</v>
      </c>
      <c r="G15" s="12">
        <v>4.04588473</v>
      </c>
      <c r="H15" s="56">
        <v>2.7237019198084078</v>
      </c>
      <c r="I15" s="56"/>
      <c r="J15" s="12">
        <v>805.85012749999999</v>
      </c>
      <c r="K15" s="12">
        <v>7.3872302699999999</v>
      </c>
      <c r="L15" s="56">
        <v>3.7177288604035947</v>
      </c>
      <c r="M15" s="56"/>
      <c r="N15" s="12">
        <v>605.46242446693873</v>
      </c>
      <c r="O15" s="12">
        <v>6.7996236900000007</v>
      </c>
      <c r="P15" s="56">
        <v>4.4555643439465911</v>
      </c>
      <c r="Q15" s="56"/>
      <c r="R15" s="12">
        <v>574.25876404981886</v>
      </c>
      <c r="S15" s="12">
        <v>6.4905274099999986</v>
      </c>
      <c r="T15" s="56">
        <v>4.484121726844255</v>
      </c>
    </row>
    <row r="16" spans="1:20" x14ac:dyDescent="0.35">
      <c r="A16" t="s">
        <v>182</v>
      </c>
      <c r="B16" s="12"/>
      <c r="C16" s="12">
        <v>2.9292381999999542</v>
      </c>
      <c r="D16" s="56"/>
      <c r="E16" s="56"/>
      <c r="F16" s="12"/>
      <c r="G16" s="12">
        <v>1.7963327200000481</v>
      </c>
      <c r="H16" s="56"/>
      <c r="I16" s="56"/>
      <c r="J16" s="12"/>
      <c r="K16" s="12">
        <v>1.2850253899999675</v>
      </c>
      <c r="L16" s="56"/>
      <c r="M16" s="56"/>
      <c r="N16" s="12"/>
      <c r="O16" s="12">
        <v>1.4453055099999537</v>
      </c>
      <c r="P16" s="56"/>
      <c r="Q16" s="56"/>
      <c r="R16" s="12"/>
      <c r="S16" s="12">
        <v>1.9331402499999513</v>
      </c>
      <c r="T16" s="56"/>
    </row>
    <row r="17" spans="1:20" ht="15" thickBot="1" x14ac:dyDescent="0.4">
      <c r="A17" s="26" t="s">
        <v>183</v>
      </c>
      <c r="B17" s="30">
        <v>113893.71289117049</v>
      </c>
      <c r="C17" s="30">
        <v>38.666679909999971</v>
      </c>
      <c r="D17" s="57"/>
      <c r="E17" s="57"/>
      <c r="F17" s="30">
        <v>112727.5273547609</v>
      </c>
      <c r="G17" s="30">
        <v>-7.0401673199999522</v>
      </c>
      <c r="H17" s="57"/>
      <c r="I17" s="57"/>
      <c r="J17" s="30">
        <v>112471.46848203514</v>
      </c>
      <c r="K17" s="30">
        <v>-7.3449331900000256</v>
      </c>
      <c r="L17" s="57"/>
      <c r="M17" s="57"/>
      <c r="N17" s="30">
        <v>112017.79386552292</v>
      </c>
      <c r="O17" s="30">
        <v>-5.5649348950000634</v>
      </c>
      <c r="P17" s="57"/>
      <c r="Q17" s="57"/>
      <c r="R17" s="30">
        <v>111047.34409709812</v>
      </c>
      <c r="S17" s="30">
        <v>-5.3687762240000563</v>
      </c>
      <c r="T17" s="57"/>
    </row>
    <row r="18" spans="1:20" ht="15" thickBot="1" x14ac:dyDescent="0.4">
      <c r="A18" s="97" t="s">
        <v>184</v>
      </c>
      <c r="B18" s="98"/>
      <c r="C18" s="98"/>
      <c r="D18" s="99">
        <v>1.4042872423058486</v>
      </c>
      <c r="E18" s="99"/>
      <c r="F18" s="98"/>
      <c r="G18" s="98"/>
      <c r="H18" s="99">
        <v>1.4027463037280292</v>
      </c>
      <c r="I18" s="99"/>
      <c r="J18" s="98"/>
      <c r="K18" s="98"/>
      <c r="L18" s="99">
        <v>1.3470187326317307</v>
      </c>
      <c r="M18" s="99"/>
      <c r="N18" s="98"/>
      <c r="O18" s="98"/>
      <c r="P18" s="99">
        <v>1.3540870278140105</v>
      </c>
      <c r="Q18" s="99"/>
      <c r="R18" s="98"/>
      <c r="S18" s="98"/>
      <c r="T18" s="99">
        <v>1.3767559075708937</v>
      </c>
    </row>
    <row r="19" spans="1:20" x14ac:dyDescent="0.35">
      <c r="A19" s="26" t="s">
        <v>144</v>
      </c>
      <c r="B19" s="30"/>
      <c r="C19" s="30">
        <v>263.20103438999979</v>
      </c>
      <c r="D19" s="58"/>
      <c r="E19" s="58"/>
      <c r="F19" s="30"/>
      <c r="G19" s="30">
        <v>266.99062444999993</v>
      </c>
      <c r="H19" s="58"/>
      <c r="I19" s="58"/>
      <c r="J19" s="30"/>
      <c r="K19" s="30">
        <v>234.57337555000001</v>
      </c>
      <c r="L19" s="58"/>
      <c r="M19" s="58"/>
      <c r="N19" s="30"/>
      <c r="O19" s="30">
        <v>234.73982473999988</v>
      </c>
      <c r="P19" s="58"/>
      <c r="Q19" s="58"/>
      <c r="R19" s="30"/>
      <c r="S19" s="30">
        <v>250.80304440999961</v>
      </c>
      <c r="T19" s="58"/>
    </row>
    <row r="20" spans="1:20" ht="11.15" customHeight="1" x14ac:dyDescent="0.35">
      <c r="A20" s="10" t="s">
        <v>5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Q20" s="10"/>
    </row>
    <row r="21" spans="1:20" ht="11.15" customHeight="1" x14ac:dyDescent="0.35">
      <c r="A21" s="10" t="s">
        <v>6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80"/>
    </row>
    <row r="22" spans="1:20" ht="11.15" customHeight="1" x14ac:dyDescent="0.35">
      <c r="A22" s="10" t="s">
        <v>7</v>
      </c>
      <c r="B22" s="10"/>
      <c r="C22" s="10"/>
      <c r="D22" s="10"/>
      <c r="E22" s="10"/>
      <c r="F22" s="10"/>
      <c r="G22" s="10"/>
      <c r="H22" s="10"/>
      <c r="I22" s="10"/>
      <c r="J22" s="100" t="s">
        <v>8</v>
      </c>
      <c r="K22" s="10"/>
      <c r="L22" s="10"/>
      <c r="M22" s="10"/>
      <c r="O22" s="10"/>
      <c r="P22" s="10"/>
      <c r="Q22" s="10"/>
      <c r="R22" s="10"/>
      <c r="S22" s="10"/>
      <c r="T22" s="10"/>
    </row>
    <row r="23" spans="1:20" x14ac:dyDescent="0.3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</row>
    <row r="24" spans="1:20" x14ac:dyDescent="0.3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Q24" s="10"/>
    </row>
  </sheetData>
  <mergeCells count="5">
    <mergeCell ref="B3:D3"/>
    <mergeCell ref="F3:H3"/>
    <mergeCell ref="J3:L3"/>
    <mergeCell ref="N3:P3"/>
    <mergeCell ref="R3:T3"/>
  </mergeCells>
  <pageMargins left="0.70866141732283472" right="0.70866141732283472" top="0.74803149606299213" bottom="0.74803149606299213" header="0.31496062992125984" footer="0.31496062992125984"/>
  <pageSetup paperSize="9" scale="50" orientation="portrait" horizontalDpi="4294967294" verticalDpi="4294967294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J68"/>
  <sheetViews>
    <sheetView showGridLines="0"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2" sqref="B2"/>
    </sheetView>
  </sheetViews>
  <sheetFormatPr baseColWidth="10" defaultRowHeight="14.5" x14ac:dyDescent="0.35"/>
  <cols>
    <col min="1" max="1" width="54.453125" customWidth="1"/>
    <col min="2" max="4" width="10.7265625" customWidth="1"/>
    <col min="5" max="6" width="9.54296875" customWidth="1"/>
  </cols>
  <sheetData>
    <row r="1" spans="1:10" ht="15.5" x14ac:dyDescent="0.35">
      <c r="A1" s="19" t="s">
        <v>185</v>
      </c>
      <c r="B1" s="132">
        <f>MAX(Relevantes!B2)</f>
        <v>44834</v>
      </c>
      <c r="C1" s="132">
        <f>EOMONTH(B1,-3)</f>
        <v>44742</v>
      </c>
      <c r="D1" s="132">
        <f t="shared" ref="D1:F1" si="0">EOMONTH(C1,-3)</f>
        <v>44651</v>
      </c>
      <c r="E1" s="132">
        <f t="shared" si="0"/>
        <v>44561</v>
      </c>
      <c r="F1" s="132">
        <f t="shared" si="0"/>
        <v>44469</v>
      </c>
    </row>
    <row r="2" spans="1:10" ht="15" thickBot="1" x14ac:dyDescent="0.4">
      <c r="A2" s="20" t="s">
        <v>49</v>
      </c>
      <c r="B2" s="23" t="s">
        <v>250</v>
      </c>
      <c r="C2" s="23" t="s">
        <v>248</v>
      </c>
      <c r="D2" s="23" t="s">
        <v>246</v>
      </c>
      <c r="E2" s="23" t="s">
        <v>229</v>
      </c>
      <c r="F2" s="23" t="s">
        <v>220</v>
      </c>
      <c r="G2" s="23" t="s">
        <v>226</v>
      </c>
      <c r="H2" s="22">
        <v>44834</v>
      </c>
      <c r="I2" s="22">
        <v>44469</v>
      </c>
      <c r="J2" s="112" t="s">
        <v>227</v>
      </c>
    </row>
    <row r="3" spans="1:10" x14ac:dyDescent="0.35">
      <c r="A3" s="33" t="s">
        <v>186</v>
      </c>
      <c r="B3" s="34">
        <v>145.40007800000001</v>
      </c>
      <c r="C3" s="34">
        <v>143.08097699999999</v>
      </c>
      <c r="D3" s="34">
        <v>144.19216900000001</v>
      </c>
      <c r="E3" s="34">
        <v>144.84366899999992</v>
      </c>
      <c r="F3" s="34">
        <v>132.16918121142899</v>
      </c>
      <c r="G3" s="35">
        <f t="shared" ref="G3:G11" si="1">(+B3-C3)/C3</f>
        <v>1.6208311185909905E-2</v>
      </c>
      <c r="H3" s="34">
        <v>432.673224</v>
      </c>
      <c r="I3" s="34">
        <v>387.50619191142897</v>
      </c>
      <c r="J3" s="35">
        <f>+H3/I3-1</f>
        <v>0.11655822031069563</v>
      </c>
    </row>
    <row r="4" spans="1:10" x14ac:dyDescent="0.35">
      <c r="A4" t="s">
        <v>187</v>
      </c>
      <c r="B4" s="12">
        <v>2.9563290000000002</v>
      </c>
      <c r="C4" s="12">
        <v>4.7848542800000002</v>
      </c>
      <c r="D4" s="12">
        <v>4.4755247200000001</v>
      </c>
      <c r="E4" s="12">
        <v>3.6161053199999991</v>
      </c>
      <c r="F4" s="12">
        <v>3.0631358600000009</v>
      </c>
      <c r="G4" s="118">
        <f t="shared" si="1"/>
        <v>-0.38214858238065297</v>
      </c>
      <c r="H4" s="12">
        <v>12.216708000000001</v>
      </c>
      <c r="I4" s="12">
        <v>10.903829870000001</v>
      </c>
      <c r="J4" s="118">
        <f t="shared" ref="J4:J11" si="2">+H4/I4-1</f>
        <v>0.12040522877307147</v>
      </c>
    </row>
    <row r="5" spans="1:10" x14ac:dyDescent="0.35">
      <c r="A5" t="s">
        <v>188</v>
      </c>
      <c r="B5" s="12">
        <v>0.58367000000000013</v>
      </c>
      <c r="C5" s="12">
        <v>1.1747633399999997</v>
      </c>
      <c r="D5" s="12">
        <v>0.79898866000000002</v>
      </c>
      <c r="E5" s="12">
        <v>0.4350119600000002</v>
      </c>
      <c r="F5" s="12">
        <v>1.2173065699999996</v>
      </c>
      <c r="G5" s="118">
        <f t="shared" si="1"/>
        <v>-0.50315950444963642</v>
      </c>
      <c r="H5" s="12">
        <v>2.5574219999999999</v>
      </c>
      <c r="I5" s="12">
        <v>3.1172385399999998</v>
      </c>
      <c r="J5" s="118">
        <f t="shared" si="2"/>
        <v>-0.17958732795597987</v>
      </c>
    </row>
    <row r="6" spans="1:10" x14ac:dyDescent="0.35">
      <c r="A6" t="s">
        <v>189</v>
      </c>
      <c r="B6" s="12">
        <v>0.1158</v>
      </c>
      <c r="C6" s="12">
        <v>5.738320999999999E-2</v>
      </c>
      <c r="D6" s="12">
        <v>4.3674790000000005E-2</v>
      </c>
      <c r="E6" s="12">
        <v>4.2688000000000004E-2</v>
      </c>
      <c r="F6" s="12">
        <v>4.0623649999999997E-2</v>
      </c>
      <c r="G6" s="118">
        <f t="shared" si="1"/>
        <v>1.0180118888434442</v>
      </c>
      <c r="H6" s="12">
        <v>0.216858</v>
      </c>
      <c r="I6" s="12">
        <v>8.8085269999999993E-2</v>
      </c>
      <c r="J6" s="118">
        <f t="shared" si="2"/>
        <v>1.4619099197856804</v>
      </c>
    </row>
    <row r="7" spans="1:10" x14ac:dyDescent="0.35">
      <c r="A7" t="s">
        <v>190</v>
      </c>
      <c r="B7" s="12">
        <v>77.607807999800031</v>
      </c>
      <c r="C7" s="12">
        <v>72.065209690199978</v>
      </c>
      <c r="D7" s="12">
        <v>74.82357931</v>
      </c>
      <c r="E7" s="12">
        <v>82.422710569999992</v>
      </c>
      <c r="F7" s="12">
        <v>76.13294712000004</v>
      </c>
      <c r="G7" s="118">
        <f t="shared" si="1"/>
        <v>7.6910874656814884E-2</v>
      </c>
      <c r="H7" s="12">
        <v>224.49659700000001</v>
      </c>
      <c r="I7" s="12">
        <v>212.30858123000002</v>
      </c>
      <c r="J7" s="118">
        <f t="shared" si="2"/>
        <v>5.7407080295055923E-2</v>
      </c>
    </row>
    <row r="8" spans="1:10" x14ac:dyDescent="0.35">
      <c r="A8" t="s">
        <v>191</v>
      </c>
      <c r="B8" s="12">
        <v>62.384281910000013</v>
      </c>
      <c r="C8" s="12">
        <v>62.744903809999997</v>
      </c>
      <c r="D8" s="12">
        <v>61.487228189999982</v>
      </c>
      <c r="E8" s="12">
        <v>55.726870500000018</v>
      </c>
      <c r="F8" s="12">
        <v>49.763807100000008</v>
      </c>
      <c r="G8" s="118">
        <f t="shared" si="1"/>
        <v>-5.7474293225788587E-3</v>
      </c>
      <c r="H8" s="12">
        <v>186.61641391000001</v>
      </c>
      <c r="I8" s="12">
        <v>154.25573882142857</v>
      </c>
      <c r="J8" s="118">
        <f t="shared" si="2"/>
        <v>0.20978587465088228</v>
      </c>
    </row>
    <row r="9" spans="1:10" x14ac:dyDescent="0.35">
      <c r="A9" t="s">
        <v>192</v>
      </c>
      <c r="B9" s="12">
        <v>1.7521890901999768</v>
      </c>
      <c r="C9" s="12">
        <v>2.2538626698000428</v>
      </c>
      <c r="D9" s="12">
        <v>2.5631733300000121</v>
      </c>
      <c r="E9" s="12">
        <v>2.6002826499998832</v>
      </c>
      <c r="F9" s="12">
        <v>1.951360911428992</v>
      </c>
      <c r="G9" s="118">
        <f t="shared" si="1"/>
        <v>-0.222583916190676</v>
      </c>
      <c r="H9" s="12">
        <v>6.5692250900000317</v>
      </c>
      <c r="I9" s="12">
        <v>6.8327181800004269</v>
      </c>
      <c r="J9" s="118">
        <f t="shared" si="2"/>
        <v>-3.8563435964862003E-2</v>
      </c>
    </row>
    <row r="10" spans="1:10" x14ac:dyDescent="0.35">
      <c r="A10" s="33" t="s">
        <v>193</v>
      </c>
      <c r="B10" s="34">
        <v>14.867724999999997</v>
      </c>
      <c r="C10" s="34">
        <v>12.629303</v>
      </c>
      <c r="D10" s="34">
        <v>10.995571999999999</v>
      </c>
      <c r="E10" s="34">
        <v>10.756491000000004</v>
      </c>
      <c r="F10" s="34">
        <v>10.96691667</v>
      </c>
      <c r="G10" s="35">
        <f t="shared" si="1"/>
        <v>0.17724034335069769</v>
      </c>
      <c r="H10" s="34">
        <v>38.492599999999996</v>
      </c>
      <c r="I10" s="34">
        <v>32.477916669999999</v>
      </c>
      <c r="J10" s="35">
        <f t="shared" si="2"/>
        <v>0.18519301564548285</v>
      </c>
    </row>
    <row r="11" spans="1:10" x14ac:dyDescent="0.35">
      <c r="A11" s="26" t="s">
        <v>194</v>
      </c>
      <c r="B11" s="30">
        <v>130.532353</v>
      </c>
      <c r="C11" s="30">
        <v>130.45167400000003</v>
      </c>
      <c r="D11" s="30">
        <v>133.196597</v>
      </c>
      <c r="E11" s="30">
        <v>134.08717799999994</v>
      </c>
      <c r="F11" s="30">
        <v>121.20226454142897</v>
      </c>
      <c r="G11" s="32">
        <f t="shared" si="1"/>
        <v>6.1845890915876683E-4</v>
      </c>
      <c r="H11" s="30">
        <v>394.18062400000002</v>
      </c>
      <c r="I11" s="30">
        <v>355.02827524142896</v>
      </c>
      <c r="J11" s="32">
        <f t="shared" si="2"/>
        <v>0.11027952275617037</v>
      </c>
    </row>
    <row r="68" spans="1:4" x14ac:dyDescent="0.35">
      <c r="A68" s="76"/>
      <c r="B68" s="76"/>
      <c r="C68" s="76"/>
      <c r="D68" s="76"/>
    </row>
  </sheetData>
  <pageMargins left="0.70866141732283472" right="0.70866141732283472" top="0.74803149606299213" bottom="0.74803149606299213" header="0.31496062992125984" footer="0.31496062992125984"/>
  <pageSetup paperSize="9" scale="51" orientation="portrait" horizontalDpi="4294967294" verticalDpi="4294967294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K32"/>
  <sheetViews>
    <sheetView showGridLines="0" zoomScale="85" zoomScaleNormal="8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2" sqref="B2"/>
    </sheetView>
  </sheetViews>
  <sheetFormatPr baseColWidth="10" defaultRowHeight="14.5" x14ac:dyDescent="0.35"/>
  <cols>
    <col min="1" max="1" width="50.54296875" customWidth="1"/>
    <col min="2" max="3" width="11.1796875" customWidth="1"/>
    <col min="4" max="6" width="11.26953125" bestFit="1" customWidth="1"/>
    <col min="9" max="9" width="12.26953125" customWidth="1"/>
    <col min="10" max="10" width="16.26953125" bestFit="1" customWidth="1"/>
    <col min="11" max="15" width="11.26953125" bestFit="1" customWidth="1"/>
  </cols>
  <sheetData>
    <row r="1" spans="1:11" ht="15.5" x14ac:dyDescent="0.35">
      <c r="A1" s="19" t="s">
        <v>3</v>
      </c>
      <c r="B1" s="19"/>
      <c r="C1" s="19"/>
      <c r="D1" s="19"/>
      <c r="E1" s="19"/>
      <c r="F1" s="136" t="s">
        <v>195</v>
      </c>
      <c r="G1" s="136"/>
    </row>
    <row r="2" spans="1:11" ht="15" thickBot="1" x14ac:dyDescent="0.4">
      <c r="A2" s="20" t="s">
        <v>49</v>
      </c>
      <c r="B2" s="22">
        <f>MAX(Relevantes!$2:$2)</f>
        <v>44834</v>
      </c>
      <c r="C2" s="22">
        <f>EOMONTH(B2,-3)</f>
        <v>44742</v>
      </c>
      <c r="D2" s="22">
        <f>EOMONTH(B2,-MONTH(B2))</f>
        <v>44561</v>
      </c>
      <c r="E2" s="22">
        <f>EOMONTH(B2,-12)</f>
        <v>44469</v>
      </c>
      <c r="F2" s="22" t="s">
        <v>140</v>
      </c>
      <c r="G2" s="22" t="s">
        <v>141</v>
      </c>
    </row>
    <row r="3" spans="1:11" x14ac:dyDescent="0.35">
      <c r="A3" t="s">
        <v>196</v>
      </c>
      <c r="B3" s="12">
        <v>55293.873337969999</v>
      </c>
      <c r="C3" s="12">
        <v>56198.571376859974</v>
      </c>
      <c r="D3" s="12">
        <v>55482.588809309971</v>
      </c>
      <c r="E3" s="12">
        <v>54943.462584679954</v>
      </c>
      <c r="F3" s="12">
        <f>+B3-D3</f>
        <v>-188.71547133997228</v>
      </c>
      <c r="G3" s="113">
        <f>+F3/D3</f>
        <v>-3.4013458165871643E-3</v>
      </c>
    </row>
    <row r="4" spans="1:11" x14ac:dyDescent="0.35">
      <c r="A4" s="11" t="s">
        <v>197</v>
      </c>
      <c r="B4" s="12">
        <v>0</v>
      </c>
      <c r="C4" s="12">
        <v>0</v>
      </c>
      <c r="D4" s="12">
        <v>0</v>
      </c>
      <c r="E4" s="12">
        <v>-3.0441780000000001</v>
      </c>
      <c r="F4" s="12">
        <f t="shared" ref="F4:F10" si="0">+B4-D4</f>
        <v>0</v>
      </c>
      <c r="G4" s="113"/>
    </row>
    <row r="5" spans="1:11" x14ac:dyDescent="0.35">
      <c r="A5" s="33" t="s">
        <v>198</v>
      </c>
      <c r="B5" s="34">
        <v>55293.873337969999</v>
      </c>
      <c r="C5" s="34">
        <v>56198.571376859974</v>
      </c>
      <c r="D5" s="34">
        <v>55482.588809309971</v>
      </c>
      <c r="E5" s="34">
        <v>54940.418406679957</v>
      </c>
      <c r="F5" s="34">
        <f t="shared" si="0"/>
        <v>-188.71547133997228</v>
      </c>
      <c r="G5" s="35">
        <f>+F5/D5</f>
        <v>-3.4013458165871643E-3</v>
      </c>
    </row>
    <row r="6" spans="1:11" x14ac:dyDescent="0.35">
      <c r="A6" t="s">
        <v>199</v>
      </c>
      <c r="B6" s="12">
        <v>74658.037643460018</v>
      </c>
      <c r="C6" s="12">
        <v>76037.104985130005</v>
      </c>
      <c r="D6" s="12">
        <v>79176.655184979987</v>
      </c>
      <c r="E6" s="12">
        <v>78490.617917319993</v>
      </c>
      <c r="F6" s="12">
        <f t="shared" si="0"/>
        <v>-4518.6175415199687</v>
      </c>
      <c r="G6" s="113">
        <f t="shared" ref="G6:G7" si="1">+F6/D6</f>
        <v>-5.7070073634244177E-2</v>
      </c>
      <c r="J6" s="12"/>
      <c r="K6" s="12"/>
    </row>
    <row r="7" spans="1:11" x14ac:dyDescent="0.35">
      <c r="A7" s="11" t="s">
        <v>200</v>
      </c>
      <c r="B7" s="12">
        <v>-4997.4835267199996</v>
      </c>
      <c r="C7" s="12">
        <v>-5207.3372666400001</v>
      </c>
      <c r="D7" s="12">
        <v>-5207.3372666400001</v>
      </c>
      <c r="E7" s="12">
        <v>-5207.3372666400001</v>
      </c>
      <c r="F7" s="12">
        <f t="shared" si="0"/>
        <v>209.85373992000041</v>
      </c>
      <c r="G7" s="113">
        <f t="shared" si="1"/>
        <v>-4.0299625158599944E-2</v>
      </c>
    </row>
    <row r="8" spans="1:11" x14ac:dyDescent="0.35">
      <c r="A8" s="33" t="s">
        <v>201</v>
      </c>
      <c r="B8" s="34">
        <v>69660.554116740022</v>
      </c>
      <c r="C8" s="34">
        <v>70829.767718490009</v>
      </c>
      <c r="D8" s="34">
        <v>73969.317918339992</v>
      </c>
      <c r="E8" s="34">
        <v>73283.280650679997</v>
      </c>
      <c r="F8" s="34">
        <f t="shared" si="0"/>
        <v>-4308.7638015999692</v>
      </c>
      <c r="G8" s="35">
        <f>+F8/D8</f>
        <v>-5.8250689919254375E-2</v>
      </c>
    </row>
    <row r="9" spans="1:11" ht="6" customHeight="1" x14ac:dyDescent="0.35">
      <c r="G9" s="113"/>
    </row>
    <row r="10" spans="1:11" x14ac:dyDescent="0.35">
      <c r="A10" s="26" t="s">
        <v>202</v>
      </c>
      <c r="B10" s="32">
        <f t="shared" ref="B10" si="2">+B5/B8</f>
        <v>0.79376160639357318</v>
      </c>
      <c r="C10" s="32">
        <f>+C5/C8</f>
        <v>0.79343153573817826</v>
      </c>
      <c r="D10" s="32">
        <f t="shared" ref="D10:E10" si="3">+D5/D8</f>
        <v>0.75007571207512225</v>
      </c>
      <c r="E10" s="32">
        <f t="shared" si="3"/>
        <v>0.74969922087092267</v>
      </c>
      <c r="F10" s="32">
        <f t="shared" si="0"/>
        <v>4.3685894318450935E-2</v>
      </c>
      <c r="G10" s="32">
        <f>+F10/D10</f>
        <v>5.8241979596421953E-2</v>
      </c>
    </row>
    <row r="13" spans="1:11" x14ac:dyDescent="0.35">
      <c r="F13" s="136" t="s">
        <v>195</v>
      </c>
      <c r="G13" s="136"/>
    </row>
    <row r="14" spans="1:11" ht="15" thickBot="1" x14ac:dyDescent="0.4">
      <c r="A14" s="1" t="s">
        <v>203</v>
      </c>
      <c r="B14" s="22">
        <v>44834</v>
      </c>
      <c r="C14" s="22">
        <v>44742</v>
      </c>
      <c r="D14" s="22">
        <v>44561</v>
      </c>
      <c r="E14" s="22">
        <v>44469</v>
      </c>
      <c r="F14" s="22" t="s">
        <v>140</v>
      </c>
      <c r="G14" s="22" t="s">
        <v>141</v>
      </c>
    </row>
    <row r="15" spans="1:11" x14ac:dyDescent="0.35">
      <c r="A15" t="s">
        <v>204</v>
      </c>
      <c r="B15" s="12">
        <v>14674.760773969167</v>
      </c>
      <c r="C15" s="12">
        <v>18179.372020777497</v>
      </c>
      <c r="D15" s="12">
        <v>19811.731037785834</v>
      </c>
      <c r="E15" s="12">
        <v>13840.2950448475</v>
      </c>
      <c r="F15" s="12">
        <f>+B15-D15</f>
        <v>-5136.9702638166673</v>
      </c>
      <c r="G15" s="113">
        <f t="shared" ref="G15:G17" si="4">+F15/D15</f>
        <v>-0.25928931974794145</v>
      </c>
    </row>
    <row r="16" spans="1:11" x14ac:dyDescent="0.35">
      <c r="A16" t="s">
        <v>205</v>
      </c>
      <c r="B16" s="12">
        <v>796.4512366124394</v>
      </c>
      <c r="C16" s="12">
        <v>891.15729218260378</v>
      </c>
      <c r="D16" s="12">
        <v>794.93395262438401</v>
      </c>
      <c r="E16" s="12">
        <v>1214.4977582363433</v>
      </c>
      <c r="F16" s="12">
        <f>+B16-D16</f>
        <v>1.5172839880553965</v>
      </c>
      <c r="G16" s="113">
        <f t="shared" si="4"/>
        <v>1.9086918894912666E-3</v>
      </c>
    </row>
    <row r="17" spans="1:8" x14ac:dyDescent="0.35">
      <c r="A17" t="s">
        <v>206</v>
      </c>
      <c r="B17" s="12">
        <v>29098.808156824314</v>
      </c>
      <c r="C17" s="12">
        <v>28574.913030845044</v>
      </c>
      <c r="D17" s="12">
        <v>29233.909077405351</v>
      </c>
      <c r="E17" s="12">
        <v>29553.228964697097</v>
      </c>
      <c r="F17" s="12">
        <f t="shared" ref="F17:F18" si="5">+B17-D17</f>
        <v>-135.10092058103692</v>
      </c>
      <c r="G17" s="113">
        <f t="shared" si="4"/>
        <v>-4.6213771898693939E-3</v>
      </c>
    </row>
    <row r="18" spans="1:8" x14ac:dyDescent="0.35">
      <c r="A18" s="33" t="s">
        <v>207</v>
      </c>
      <c r="B18" s="34">
        <v>44570.020167405921</v>
      </c>
      <c r="C18" s="34">
        <v>47645.442343805145</v>
      </c>
      <c r="D18" s="34">
        <v>49840.574067815571</v>
      </c>
      <c r="E18" s="34">
        <v>44608.021767780941</v>
      </c>
      <c r="F18" s="34">
        <f t="shared" si="5"/>
        <v>-5270.5539004096499</v>
      </c>
      <c r="G18" s="35">
        <f>+F18/D18</f>
        <v>-0.10574825830132437</v>
      </c>
    </row>
    <row r="19" spans="1:8" ht="5.25" customHeight="1" x14ac:dyDescent="0.35">
      <c r="G19" s="113"/>
    </row>
    <row r="20" spans="1:8" x14ac:dyDescent="0.35">
      <c r="A20" s="1" t="s">
        <v>208</v>
      </c>
      <c r="B20" s="1"/>
      <c r="C20" s="1"/>
      <c r="D20" s="1"/>
      <c r="E20" s="1"/>
      <c r="G20" s="113"/>
    </row>
    <row r="21" spans="1:8" x14ac:dyDescent="0.35">
      <c r="A21" t="s">
        <v>209</v>
      </c>
      <c r="B21" s="12">
        <v>10249.900142410001</v>
      </c>
      <c r="C21" s="12">
        <v>10241.401465000001</v>
      </c>
      <c r="D21" s="12">
        <v>10291.701906910001</v>
      </c>
      <c r="E21" s="12">
        <v>10318.44743314</v>
      </c>
      <c r="F21" s="12">
        <f t="shared" ref="F21:F23" si="6">+B21-D21</f>
        <v>-41.80176449999999</v>
      </c>
      <c r="G21" s="113">
        <f t="shared" ref="G21:G22" si="7">+F21/D21</f>
        <v>-4.061696003061813E-3</v>
      </c>
    </row>
    <row r="22" spans="1:8" x14ac:dyDescent="0.35">
      <c r="A22" t="s">
        <v>210</v>
      </c>
      <c r="B22" s="12">
        <v>11393.700716020743</v>
      </c>
      <c r="C22" s="12">
        <v>11091.153900068221</v>
      </c>
      <c r="D22" s="12">
        <v>11337.952355011475</v>
      </c>
      <c r="E22" s="12">
        <v>7701.1572049453907</v>
      </c>
      <c r="F22" s="12">
        <f t="shared" si="6"/>
        <v>55.748361009267683</v>
      </c>
      <c r="G22" s="113">
        <f t="shared" si="7"/>
        <v>4.9169690666962815E-3</v>
      </c>
    </row>
    <row r="23" spans="1:8" x14ac:dyDescent="0.35">
      <c r="A23" s="33" t="s">
        <v>211</v>
      </c>
      <c r="B23" s="34">
        <v>21643.600858430742</v>
      </c>
      <c r="C23" s="34">
        <v>21332.55536506822</v>
      </c>
      <c r="D23" s="34">
        <v>21629.654261921474</v>
      </c>
      <c r="E23" s="34">
        <v>18019.604638085391</v>
      </c>
      <c r="F23" s="34">
        <f t="shared" si="6"/>
        <v>13.946596509267692</v>
      </c>
      <c r="G23" s="35">
        <f>+F23/D23</f>
        <v>6.4479054266809829E-4</v>
      </c>
    </row>
    <row r="24" spans="1:8" x14ac:dyDescent="0.35">
      <c r="G24" s="113"/>
    </row>
    <row r="25" spans="1:8" x14ac:dyDescent="0.35">
      <c r="A25" s="26" t="s">
        <v>212</v>
      </c>
      <c r="B25" s="30">
        <v>22926.419308975179</v>
      </c>
      <c r="C25" s="30">
        <v>26312.886978736926</v>
      </c>
      <c r="D25" s="30">
        <v>28210.919805894096</v>
      </c>
      <c r="E25" s="30">
        <v>26588.41712969555</v>
      </c>
      <c r="F25" s="120">
        <f>+B25-D25</f>
        <v>-5284.5004969189176</v>
      </c>
      <c r="G25" s="32">
        <f>+F25/D25</f>
        <v>-0.18732109882552744</v>
      </c>
    </row>
    <row r="26" spans="1:8" x14ac:dyDescent="0.35">
      <c r="A26" s="14" t="s">
        <v>213</v>
      </c>
      <c r="B26" s="14">
        <v>0.20296804369127772</v>
      </c>
      <c r="C26" s="14">
        <v>0.22914322217388294</v>
      </c>
      <c r="D26" s="14">
        <v>0.24360934409227378</v>
      </c>
      <c r="E26" s="14">
        <v>0.24414471192470485</v>
      </c>
      <c r="F26" s="114"/>
      <c r="G26" s="14"/>
    </row>
    <row r="27" spans="1:8" x14ac:dyDescent="0.35">
      <c r="A27" s="15" t="s">
        <v>214</v>
      </c>
      <c r="B27" s="15"/>
      <c r="C27" s="15"/>
      <c r="D27" s="15"/>
      <c r="E27" s="15"/>
    </row>
    <row r="28" spans="1:8" x14ac:dyDescent="0.35">
      <c r="A28" s="15"/>
      <c r="B28" s="15"/>
      <c r="C28" s="15"/>
      <c r="D28" s="15"/>
      <c r="E28" s="12"/>
    </row>
    <row r="30" spans="1:8" ht="15" thickBot="1" x14ac:dyDescent="0.4">
      <c r="A30" s="26" t="s">
        <v>9</v>
      </c>
      <c r="B30" s="22">
        <v>44834</v>
      </c>
      <c r="C30" s="22">
        <v>44742</v>
      </c>
      <c r="D30" s="22">
        <v>44561</v>
      </c>
      <c r="E30" s="22">
        <v>44469</v>
      </c>
      <c r="F30" s="23" t="s">
        <v>226</v>
      </c>
      <c r="G30" s="23" t="s">
        <v>247</v>
      </c>
      <c r="H30" s="23" t="s">
        <v>227</v>
      </c>
    </row>
    <row r="31" spans="1:8" x14ac:dyDescent="0.35">
      <c r="A31" t="s">
        <v>0</v>
      </c>
      <c r="B31" s="59">
        <v>2.72</v>
      </c>
      <c r="C31" s="59">
        <v>3.33</v>
      </c>
      <c r="D31" s="59">
        <v>3.07</v>
      </c>
      <c r="E31" s="59">
        <v>3.0014147350092504</v>
      </c>
      <c r="F31" s="72">
        <f>+(B31-C31)*100</f>
        <v>-60.999999999999986</v>
      </c>
      <c r="G31" s="72">
        <f>+(B31-D31)*100</f>
        <v>-34.999999999999964</v>
      </c>
      <c r="H31" s="72">
        <f>+(B31-E31)*100</f>
        <v>-28.141473500925017</v>
      </c>
    </row>
    <row r="32" spans="1:8" x14ac:dyDescent="0.35">
      <c r="A32" t="s">
        <v>1</v>
      </c>
      <c r="B32" s="59">
        <v>1.42</v>
      </c>
      <c r="C32" s="59">
        <v>1.42</v>
      </c>
      <c r="D32" s="59">
        <v>1.42</v>
      </c>
      <c r="E32" s="59">
        <v>1.398289435319273</v>
      </c>
      <c r="F32" s="72">
        <f>+(B32-C32)*100</f>
        <v>0</v>
      </c>
      <c r="G32" s="72">
        <f>+(B32-D32)*100</f>
        <v>0</v>
      </c>
      <c r="H32" s="72">
        <f>+(B32-E32)*100</f>
        <v>2.1710564680726963</v>
      </c>
    </row>
  </sheetData>
  <mergeCells count="2">
    <mergeCell ref="F1:G1"/>
    <mergeCell ref="F13:G13"/>
  </mergeCells>
  <pageMargins left="0.70866141732283472" right="0.70866141732283472" top="0.74803149606299213" bottom="0.74803149606299213" header="0.31496062992125984" footer="0.31496062992125984"/>
  <pageSetup paperSize="9" scale="56" orientation="portrait" horizontalDpi="4294967294" verticalDpi="4294967294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G44"/>
  <sheetViews>
    <sheetView showGridLines="0" zoomScale="85" zoomScaleNormal="85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3" sqref="B3"/>
    </sheetView>
  </sheetViews>
  <sheetFormatPr baseColWidth="10" defaultRowHeight="14.5" x14ac:dyDescent="0.35"/>
  <cols>
    <col min="1" max="1" width="54.7265625" customWidth="1"/>
    <col min="2" max="2" width="11.1796875" customWidth="1"/>
    <col min="3" max="5" width="11.26953125" customWidth="1"/>
  </cols>
  <sheetData>
    <row r="1" spans="1:5" ht="15.5" x14ac:dyDescent="0.35">
      <c r="A1" s="19" t="s">
        <v>22</v>
      </c>
      <c r="B1" s="19"/>
      <c r="C1" s="19"/>
      <c r="D1" s="19"/>
      <c r="E1" s="19"/>
    </row>
    <row r="2" spans="1:5" x14ac:dyDescent="0.35">
      <c r="A2" s="44" t="s">
        <v>27</v>
      </c>
      <c r="B2" s="44"/>
    </row>
    <row r="3" spans="1:5" ht="15" thickBot="1" x14ac:dyDescent="0.4">
      <c r="A3" s="20" t="s">
        <v>28</v>
      </c>
      <c r="B3" s="22">
        <f>MAX(Relevantes!$2:$2)</f>
        <v>44834</v>
      </c>
      <c r="C3" s="22">
        <f>EOMONTH(B3,-3)</f>
        <v>44742</v>
      </c>
      <c r="D3" s="22">
        <f>EOMONTH(B3,-MONTH(B3))</f>
        <v>44561</v>
      </c>
      <c r="E3" s="22">
        <f>EOMONTH(B3,-12)</f>
        <v>44469</v>
      </c>
    </row>
    <row r="4" spans="1:5" x14ac:dyDescent="0.35">
      <c r="A4" s="44" t="s">
        <v>29</v>
      </c>
      <c r="B4" s="41">
        <v>5842.0374651018947</v>
      </c>
      <c r="C4" s="41">
        <v>5875.6532394560018</v>
      </c>
      <c r="D4" s="41">
        <v>5934.2817314078638</v>
      </c>
      <c r="E4" s="41">
        <v>5934.5458043350536</v>
      </c>
    </row>
    <row r="5" spans="1:5" x14ac:dyDescent="0.35">
      <c r="A5" s="18" t="s">
        <v>30</v>
      </c>
      <c r="B5" s="12">
        <v>4673.5894180289361</v>
      </c>
      <c r="C5" s="12">
        <v>4710.8685614560018</v>
      </c>
      <c r="D5" s="12">
        <v>4800.4508424078631</v>
      </c>
      <c r="E5" s="12">
        <v>5315.6830519800014</v>
      </c>
    </row>
    <row r="6" spans="1:5" x14ac:dyDescent="0.35">
      <c r="A6" s="4" t="s">
        <v>31</v>
      </c>
      <c r="B6" s="12">
        <v>1873.1308923700001</v>
      </c>
      <c r="C6" s="12">
        <v>1873.1308923700001</v>
      </c>
      <c r="D6" s="12">
        <v>1873.1308923700001</v>
      </c>
      <c r="E6" s="12">
        <v>3864.25618571</v>
      </c>
    </row>
    <row r="7" spans="1:5" x14ac:dyDescent="0.35">
      <c r="A7" s="4" t="s">
        <v>32</v>
      </c>
      <c r="B7" s="12">
        <v>3945.8057989331837</v>
      </c>
      <c r="C7" s="12">
        <v>3949.8691076300001</v>
      </c>
      <c r="D7" s="12">
        <v>2885.8610223766</v>
      </c>
      <c r="E7" s="12">
        <v>858.29475755515784</v>
      </c>
    </row>
    <row r="8" spans="1:5" x14ac:dyDescent="0.35">
      <c r="A8" s="4" t="s">
        <v>33</v>
      </c>
      <c r="B8" s="12">
        <v>124.90771281856799</v>
      </c>
      <c r="C8" s="12">
        <v>79</v>
      </c>
      <c r="D8" s="12">
        <v>1036.3577087175886</v>
      </c>
      <c r="E8" s="12">
        <v>1329.5309999999999</v>
      </c>
    </row>
    <row r="9" spans="1:5" x14ac:dyDescent="0.35">
      <c r="A9" s="4" t="s">
        <v>34</v>
      </c>
      <c r="B9" s="12">
        <v>-1275.8430194865189</v>
      </c>
      <c r="C9" s="12">
        <v>-1301.8</v>
      </c>
      <c r="D9" s="12">
        <v>-1386.6612656640748</v>
      </c>
      <c r="E9" s="12">
        <v>-1197.859157969013</v>
      </c>
    </row>
    <row r="10" spans="1:5" x14ac:dyDescent="0.35">
      <c r="A10" s="4" t="s">
        <v>35</v>
      </c>
      <c r="B10" s="12">
        <v>5.5880333937033129</v>
      </c>
      <c r="C10" s="12">
        <v>110.66856145600227</v>
      </c>
      <c r="D10" s="12">
        <v>391.76248460774991</v>
      </c>
      <c r="E10" s="12">
        <v>461.46026668385673</v>
      </c>
    </row>
    <row r="11" spans="1:5" x14ac:dyDescent="0.35">
      <c r="A11" s="18" t="s">
        <v>36</v>
      </c>
      <c r="B11" s="12">
        <v>547.38467800000001</v>
      </c>
      <c r="C11" s="12">
        <v>547.38467800000001</v>
      </c>
      <c r="D11" s="12">
        <v>547.38467800000001</v>
      </c>
      <c r="E11" s="12">
        <v>47.390641000000002</v>
      </c>
    </row>
    <row r="12" spans="1:5" x14ac:dyDescent="0.35">
      <c r="A12" s="18" t="s">
        <v>37</v>
      </c>
      <c r="B12" s="12">
        <v>621.06336907295804</v>
      </c>
      <c r="C12" s="12">
        <v>617.4</v>
      </c>
      <c r="D12" s="12">
        <v>586.44621099999995</v>
      </c>
      <c r="E12" s="12">
        <v>571.47211135505188</v>
      </c>
    </row>
    <row r="13" spans="1:5" x14ac:dyDescent="0.35">
      <c r="A13" s="44" t="s">
        <v>38</v>
      </c>
      <c r="B13" s="41">
        <v>34245.231805771327</v>
      </c>
      <c r="C13" s="41">
        <v>34899</v>
      </c>
      <c r="D13" s="41">
        <v>35290.64484222266</v>
      </c>
      <c r="E13" s="41">
        <v>35698.96643757038</v>
      </c>
    </row>
    <row r="14" spans="1:5" x14ac:dyDescent="0.35">
      <c r="A14" s="26" t="s">
        <v>39</v>
      </c>
      <c r="B14" s="51">
        <v>0.13647416506146409</v>
      </c>
      <c r="C14" s="51">
        <v>0.13498577499229208</v>
      </c>
      <c r="D14" s="51">
        <v>0.13602615831673545</v>
      </c>
      <c r="E14" s="51">
        <v>0.14890299586896891</v>
      </c>
    </row>
    <row r="15" spans="1:5" x14ac:dyDescent="0.35">
      <c r="A15" t="s">
        <v>36</v>
      </c>
      <c r="B15" s="77">
        <v>1.5984259680430886E-2</v>
      </c>
      <c r="C15" s="77">
        <v>1.5684824149689101E-2</v>
      </c>
      <c r="D15" s="77">
        <v>1.5510758742075874E-2</v>
      </c>
      <c r="E15" s="77">
        <v>1.3275073686762273E-3</v>
      </c>
    </row>
    <row r="16" spans="1:5" x14ac:dyDescent="0.35">
      <c r="A16" t="s">
        <v>37</v>
      </c>
      <c r="B16" s="77">
        <v>1.8135761865927583E-2</v>
      </c>
      <c r="C16" s="77">
        <v>1.7691051319522047E-2</v>
      </c>
      <c r="D16" s="77">
        <v>1.6617611087070876E-2</v>
      </c>
      <c r="E16" s="77">
        <v>1.6008085622154652E-2</v>
      </c>
    </row>
    <row r="17" spans="1:7" ht="15" thickBot="1" x14ac:dyDescent="0.4">
      <c r="A17" s="26" t="s">
        <v>40</v>
      </c>
      <c r="B17" s="51">
        <v>0.17059418660782255</v>
      </c>
      <c r="C17" s="51">
        <v>0.16836165046150325</v>
      </c>
      <c r="D17" s="51">
        <v>0.16815452814588222</v>
      </c>
      <c r="E17" s="51">
        <v>0.16623858885979981</v>
      </c>
      <c r="F17" s="59"/>
    </row>
    <row r="18" spans="1:7" ht="18" customHeight="1" thickBot="1" x14ac:dyDescent="0.4">
      <c r="A18" s="85" t="s">
        <v>41</v>
      </c>
      <c r="B18" s="85"/>
      <c r="C18" s="85"/>
      <c r="D18" s="85"/>
      <c r="E18" s="63"/>
      <c r="F18" s="62"/>
    </row>
    <row r="19" spans="1:7" ht="28.15" customHeight="1" x14ac:dyDescent="0.35">
      <c r="A19" s="138"/>
      <c r="B19" s="138"/>
      <c r="C19" s="138"/>
      <c r="D19" s="138"/>
      <c r="E19" s="138"/>
      <c r="F19" s="115"/>
      <c r="G19" s="115"/>
    </row>
    <row r="20" spans="1:7" ht="8.15" customHeight="1" x14ac:dyDescent="0.35">
      <c r="F20" s="64"/>
    </row>
    <row r="21" spans="1:7" x14ac:dyDescent="0.35">
      <c r="A21" s="44" t="s">
        <v>42</v>
      </c>
      <c r="B21" s="44"/>
      <c r="F21" s="62"/>
    </row>
    <row r="22" spans="1:7" ht="15" thickBot="1" x14ac:dyDescent="0.4">
      <c r="A22" s="20" t="s">
        <v>28</v>
      </c>
      <c r="B22" s="22">
        <v>44834</v>
      </c>
      <c r="C22" s="22">
        <v>44742</v>
      </c>
      <c r="D22" s="22">
        <v>44561</v>
      </c>
      <c r="E22" s="22">
        <v>44469</v>
      </c>
      <c r="F22" s="59"/>
    </row>
    <row r="23" spans="1:7" x14ac:dyDescent="0.35">
      <c r="A23" s="44" t="s">
        <v>29</v>
      </c>
      <c r="B23" s="41">
        <v>5603.703115853189</v>
      </c>
      <c r="C23" s="41">
        <v>5603.3846780000003</v>
      </c>
      <c r="D23" s="41">
        <v>5522.6806761967018</v>
      </c>
      <c r="E23" s="41">
        <v>5463.2893593613926</v>
      </c>
      <c r="F23" s="12"/>
    </row>
    <row r="24" spans="1:7" x14ac:dyDescent="0.35">
      <c r="A24" s="18" t="s">
        <v>30</v>
      </c>
      <c r="B24" s="12">
        <v>4435.2550687802304</v>
      </c>
      <c r="C24" s="12">
        <v>4439</v>
      </c>
      <c r="D24" s="12">
        <v>4388.8497871967011</v>
      </c>
      <c r="E24" s="12">
        <v>4823.5318701491033</v>
      </c>
      <c r="F24" s="12"/>
    </row>
    <row r="25" spans="1:7" x14ac:dyDescent="0.35">
      <c r="A25" s="4" t="s">
        <v>31</v>
      </c>
      <c r="B25" s="12">
        <v>1873.1308923700001</v>
      </c>
      <c r="C25" s="12">
        <v>1873.1308923700001</v>
      </c>
      <c r="D25" s="12">
        <v>1873.1308923700001</v>
      </c>
      <c r="E25" s="12">
        <v>3865.6049999999996</v>
      </c>
    </row>
    <row r="26" spans="1:7" x14ac:dyDescent="0.35">
      <c r="A26" s="4" t="s">
        <v>32</v>
      </c>
      <c r="B26" s="12">
        <v>3945.8057989331837</v>
      </c>
      <c r="C26" s="12">
        <v>3949.8691076300001</v>
      </c>
      <c r="D26" s="12">
        <v>2885.8610223766</v>
      </c>
      <c r="E26" s="12">
        <v>857.88000000000011</v>
      </c>
      <c r="F26" s="12"/>
    </row>
    <row r="27" spans="1:7" x14ac:dyDescent="0.35">
      <c r="A27" s="4" t="s">
        <v>33</v>
      </c>
      <c r="B27" s="12">
        <v>124.90771281856799</v>
      </c>
      <c r="C27" s="12">
        <v>79</v>
      </c>
      <c r="D27" s="12">
        <v>1036.3577087175886</v>
      </c>
      <c r="E27" s="12">
        <v>1329.5309999999999</v>
      </c>
      <c r="F27" s="12"/>
    </row>
    <row r="28" spans="1:7" x14ac:dyDescent="0.35">
      <c r="A28" s="4" t="s">
        <v>34</v>
      </c>
      <c r="B28" s="12">
        <v>-1385.5236441039053</v>
      </c>
      <c r="C28" s="12">
        <v>-1412</v>
      </c>
      <c r="D28" s="12">
        <v>-1557.7503227092354</v>
      </c>
      <c r="E28" s="12">
        <v>-1389.0589522258099</v>
      </c>
      <c r="F28" s="12"/>
    </row>
    <row r="29" spans="1:7" x14ac:dyDescent="0.35">
      <c r="A29" s="4" t="s">
        <v>43</v>
      </c>
      <c r="B29" s="12">
        <v>-123.06569123761665</v>
      </c>
      <c r="C29" s="12">
        <v>-51</v>
      </c>
      <c r="D29" s="12">
        <v>151.25048644174854</v>
      </c>
      <c r="E29" s="12">
        <v>159.574822374913</v>
      </c>
    </row>
    <row r="30" spans="1:7" x14ac:dyDescent="0.35">
      <c r="A30" s="18" t="s">
        <v>36</v>
      </c>
      <c r="B30" s="12">
        <v>547.38467800000001</v>
      </c>
      <c r="C30" s="12">
        <v>547.38467800000001</v>
      </c>
      <c r="D30" s="12">
        <v>547.38467800000001</v>
      </c>
      <c r="E30" s="12">
        <v>47.390999999999998</v>
      </c>
      <c r="F30" s="12"/>
    </row>
    <row r="31" spans="1:7" x14ac:dyDescent="0.35">
      <c r="A31" s="18" t="s">
        <v>37</v>
      </c>
      <c r="B31" s="12">
        <v>621.06336907295804</v>
      </c>
      <c r="C31" s="12">
        <v>617</v>
      </c>
      <c r="D31" s="12">
        <v>586.44621099999995</v>
      </c>
      <c r="E31" s="12">
        <v>592.36648921228937</v>
      </c>
      <c r="F31" s="12"/>
    </row>
    <row r="32" spans="1:7" x14ac:dyDescent="0.35">
      <c r="A32" s="44" t="s">
        <v>38</v>
      </c>
      <c r="B32" s="41">
        <v>34103.373828746197</v>
      </c>
      <c r="C32" s="41">
        <v>34790</v>
      </c>
      <c r="D32" s="41">
        <v>35063.652048272597</v>
      </c>
      <c r="E32" s="41">
        <v>35441.157047449626</v>
      </c>
    </row>
    <row r="33" spans="1:6" x14ac:dyDescent="0.35">
      <c r="A33" s="26" t="s">
        <v>39</v>
      </c>
      <c r="B33" s="51">
        <v>0.13005326367568049</v>
      </c>
      <c r="C33" s="51">
        <v>0.12759413624604771</v>
      </c>
      <c r="D33" s="51">
        <v>0.12516807379774683</v>
      </c>
      <c r="E33" s="51">
        <v>0.1360997290153711</v>
      </c>
      <c r="F33" s="62"/>
    </row>
    <row r="34" spans="1:6" x14ac:dyDescent="0.35">
      <c r="A34" t="s">
        <v>36</v>
      </c>
      <c r="B34" s="77">
        <v>1.60507485490659E-2</v>
      </c>
      <c r="C34" s="77">
        <v>1.5733966024719746E-2</v>
      </c>
      <c r="D34" s="77">
        <v>1.5611171284908036E-2</v>
      </c>
      <c r="E34" s="77">
        <v>1.3371741768066878E-3</v>
      </c>
    </row>
    <row r="35" spans="1:6" x14ac:dyDescent="0.35">
      <c r="A35" t="s">
        <v>37</v>
      </c>
      <c r="B35" s="77">
        <v>1.8211200222936749E-2</v>
      </c>
      <c r="C35" s="77">
        <v>1.773498131647025E-2</v>
      </c>
      <c r="D35" s="77">
        <v>1.6725189098746235E-2</v>
      </c>
      <c r="E35" s="77">
        <v>1.6714084374254833E-2</v>
      </c>
    </row>
    <row r="36" spans="1:6" x14ac:dyDescent="0.35">
      <c r="A36" s="26" t="s">
        <v>40</v>
      </c>
      <c r="B36" s="92">
        <v>0.16431521244768316</v>
      </c>
      <c r="C36" s="92">
        <v>0.1610630835872377</v>
      </c>
      <c r="D36" s="92">
        <v>0.15750443418140112</v>
      </c>
      <c r="E36" s="92">
        <v>0.15415098756643261</v>
      </c>
      <c r="F36" s="59"/>
    </row>
    <row r="38" spans="1:6" x14ac:dyDescent="0.35">
      <c r="A38" s="137"/>
      <c r="B38" s="137"/>
      <c r="C38" s="137"/>
      <c r="D38" s="137"/>
      <c r="E38" s="137"/>
    </row>
    <row r="39" spans="1:6" ht="15" thickBot="1" x14ac:dyDescent="0.4">
      <c r="B39" s="22">
        <v>44834</v>
      </c>
      <c r="C39" s="22">
        <v>44742</v>
      </c>
      <c r="D39" s="22">
        <v>44561</v>
      </c>
      <c r="E39" s="22">
        <v>44469</v>
      </c>
    </row>
    <row r="40" spans="1:6" x14ac:dyDescent="0.35">
      <c r="B40" s="61" t="s">
        <v>44</v>
      </c>
      <c r="C40" s="61" t="s">
        <v>44</v>
      </c>
      <c r="D40" s="61" t="s">
        <v>44</v>
      </c>
      <c r="E40" s="61" t="s">
        <v>44</v>
      </c>
    </row>
    <row r="41" spans="1:6" x14ac:dyDescent="0.35">
      <c r="A41" t="s">
        <v>45</v>
      </c>
      <c r="B41" s="103">
        <v>0.13647416506146409</v>
      </c>
      <c r="C41" s="103">
        <f>+C14</f>
        <v>0.13498577499229208</v>
      </c>
      <c r="D41" s="103">
        <f>+D14</f>
        <v>0.13602615831673545</v>
      </c>
      <c r="E41" s="103">
        <f>+E14</f>
        <v>0.14890299586896891</v>
      </c>
    </row>
    <row r="42" spans="1:6" x14ac:dyDescent="0.35">
      <c r="A42" t="s">
        <v>46</v>
      </c>
      <c r="B42" s="103">
        <v>0.17059418660782255</v>
      </c>
      <c r="C42" s="103">
        <f>+C17</f>
        <v>0.16836165046150325</v>
      </c>
      <c r="D42" s="103">
        <f>+D17</f>
        <v>0.16815452814588222</v>
      </c>
      <c r="E42" s="103">
        <f>+E17</f>
        <v>0.16623858885979981</v>
      </c>
    </row>
    <row r="43" spans="1:6" ht="15" thickBot="1" x14ac:dyDescent="0.4">
      <c r="A43" t="s">
        <v>47</v>
      </c>
      <c r="B43" s="116">
        <v>0.1265</v>
      </c>
      <c r="C43" s="116">
        <v>0.1265</v>
      </c>
      <c r="D43" s="116">
        <v>0.1225</v>
      </c>
      <c r="E43" s="116">
        <v>0.1225</v>
      </c>
    </row>
    <row r="44" spans="1:6" x14ac:dyDescent="0.35">
      <c r="A44" s="60" t="s">
        <v>48</v>
      </c>
      <c r="B44" s="79">
        <f>+B42-B43</f>
        <v>4.409418660782255E-2</v>
      </c>
      <c r="C44" s="79">
        <f>+C42-C43</f>
        <v>4.1861650461503253E-2</v>
      </c>
      <c r="D44" s="79">
        <f>+D42-D43</f>
        <v>4.5654528145882223E-2</v>
      </c>
      <c r="E44" s="79">
        <f>+E42-E43</f>
        <v>4.373858885979981E-2</v>
      </c>
    </row>
  </sheetData>
  <mergeCells count="2">
    <mergeCell ref="A38:E38"/>
    <mergeCell ref="A19:E19"/>
  </mergeCells>
  <pageMargins left="0.70866141732283472" right="0.70866141732283472" top="0.74803149606299213" bottom="0.74803149606299213" header="0.31496062992125984" footer="0.31496062992125984"/>
  <pageSetup paperSize="9" scale="72" orientation="portrait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6"/>
  <sheetViews>
    <sheetView showGridLines="0" zoomScale="90" zoomScaleNormal="9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2" sqref="B2"/>
    </sheetView>
  </sheetViews>
  <sheetFormatPr baseColWidth="10" defaultRowHeight="14.5" x14ac:dyDescent="0.35"/>
  <cols>
    <col min="1" max="1" width="56.26953125" customWidth="1"/>
    <col min="2" max="5" width="11.453125" customWidth="1"/>
    <col min="6" max="8" width="10.81640625" customWidth="1"/>
  </cols>
  <sheetData>
    <row r="1" spans="1:9" ht="15.5" x14ac:dyDescent="0.35">
      <c r="A1" s="19" t="s">
        <v>15</v>
      </c>
      <c r="B1" s="19"/>
      <c r="C1" s="19"/>
      <c r="D1" s="19"/>
    </row>
    <row r="2" spans="1:9" x14ac:dyDescent="0.35">
      <c r="A2" s="20" t="s">
        <v>16</v>
      </c>
      <c r="B2" s="124">
        <v>44834</v>
      </c>
      <c r="C2" s="124">
        <f>EOMONTH(B2,-3)</f>
        <v>44742</v>
      </c>
      <c r="D2" s="124">
        <f>EOMONTH(B2,-MONTH(B2))</f>
        <v>44561</v>
      </c>
      <c r="E2" s="124">
        <f>EOMONTH(B2,-12)</f>
        <v>44469</v>
      </c>
      <c r="F2" s="123" t="s">
        <v>226</v>
      </c>
      <c r="G2" s="123" t="s">
        <v>247</v>
      </c>
      <c r="H2" s="123" t="s">
        <v>227</v>
      </c>
    </row>
    <row r="3" spans="1:9" x14ac:dyDescent="0.35">
      <c r="A3" s="26" t="s">
        <v>17</v>
      </c>
      <c r="B3" s="26"/>
      <c r="C3" s="26"/>
      <c r="D3" s="26"/>
      <c r="E3" s="27"/>
      <c r="F3" s="27"/>
      <c r="G3" s="27"/>
      <c r="H3" s="27"/>
    </row>
    <row r="4" spans="1:9" x14ac:dyDescent="0.35">
      <c r="A4" t="s">
        <v>252</v>
      </c>
      <c r="B4" s="12">
        <v>112955.80768294318</v>
      </c>
      <c r="C4" s="12">
        <v>114831.6180993984</v>
      </c>
      <c r="D4" s="12">
        <v>115549.99310674141</v>
      </c>
      <c r="E4" s="12">
        <v>109143.667</v>
      </c>
      <c r="F4" s="24">
        <f>(B4-C4)/C4</f>
        <v>-1.6335312934731238E-2</v>
      </c>
      <c r="G4" s="24">
        <f>(B4-D4)/D4</f>
        <v>-2.245076225492984E-2</v>
      </c>
      <c r="H4" s="24">
        <f>(B4-E4)/E4</f>
        <v>3.4927731381273634E-2</v>
      </c>
    </row>
    <row r="5" spans="1:9" ht="16.5" x14ac:dyDescent="0.35">
      <c r="A5" t="s">
        <v>253</v>
      </c>
      <c r="B5" s="12">
        <v>55293.873337969999</v>
      </c>
      <c r="C5" s="12">
        <v>56198.571376859982</v>
      </c>
      <c r="D5" s="12">
        <v>55482.588809309971</v>
      </c>
      <c r="E5" s="12">
        <v>54940.418406679957</v>
      </c>
      <c r="F5" s="24">
        <f>(B5-C5)/C5</f>
        <v>-1.6098239096207639E-2</v>
      </c>
      <c r="G5" s="24">
        <f>(B5-D5)/D5</f>
        <v>-3.4013458165871643E-3</v>
      </c>
      <c r="H5" s="24">
        <f>(B5-E5)/E5</f>
        <v>6.4334226338375817E-3</v>
      </c>
    </row>
    <row r="6" spans="1:9" ht="16.5" x14ac:dyDescent="0.35">
      <c r="A6" s="17" t="s">
        <v>254</v>
      </c>
      <c r="B6" s="12">
        <v>53342.563149069996</v>
      </c>
      <c r="C6" s="12">
        <v>54236.735877729981</v>
      </c>
      <c r="D6" s="12">
        <v>53522.021754219968</v>
      </c>
      <c r="E6" s="12">
        <v>53078.585276239959</v>
      </c>
      <c r="F6" s="24">
        <f>(B6-C6)/C6</f>
        <v>-1.6486477554176329E-2</v>
      </c>
      <c r="G6" s="24">
        <f>(B6-D6)/D6</f>
        <v>-3.3529862899064036E-3</v>
      </c>
      <c r="H6" s="24">
        <f>(B6-E6)/E6</f>
        <v>4.973340405668345E-3</v>
      </c>
      <c r="I6" s="86"/>
    </row>
    <row r="7" spans="1:9" ht="16.5" x14ac:dyDescent="0.35">
      <c r="A7" s="21" t="s">
        <v>255</v>
      </c>
      <c r="B7" s="12">
        <v>89779.860943200008</v>
      </c>
      <c r="C7" s="12">
        <v>91554.723316549993</v>
      </c>
      <c r="D7" s="12">
        <v>96007.488047129998</v>
      </c>
      <c r="E7" s="12">
        <v>94726.258632369994</v>
      </c>
      <c r="F7" s="24">
        <f>(B7-C7)/C7</f>
        <v>-1.9385808935421134E-2</v>
      </c>
      <c r="G7" s="24">
        <f>(B7-D7)/D7</f>
        <v>-6.4866056081717846E-2</v>
      </c>
      <c r="H7" s="24">
        <f>(B7-E7)/E7</f>
        <v>-5.2217809091002099E-2</v>
      </c>
    </row>
    <row r="8" spans="1:9" x14ac:dyDescent="0.35">
      <c r="A8" s="21" t="s">
        <v>18</v>
      </c>
      <c r="B8" s="12">
        <v>20119.096998090001</v>
      </c>
      <c r="C8" s="12">
        <v>20724.811286050004</v>
      </c>
      <c r="D8" s="12">
        <v>22038.17012879</v>
      </c>
      <c r="E8" s="12">
        <v>21442.977982049997</v>
      </c>
      <c r="F8" s="24">
        <f>(B8-C8)/C8</f>
        <v>-2.9226528512117898E-2</v>
      </c>
      <c r="G8" s="24">
        <f>(B8-D8)/D8</f>
        <v>-8.7079513384506438E-2</v>
      </c>
      <c r="H8" s="24">
        <f>(B8-E8)/E8</f>
        <v>-6.1739604688687472E-2</v>
      </c>
    </row>
    <row r="9" spans="1:9" x14ac:dyDescent="0.35">
      <c r="A9" t="s">
        <v>256</v>
      </c>
      <c r="B9" s="12">
        <v>6626.3529867568905</v>
      </c>
      <c r="C9" s="12">
        <v>6535.7809894393595</v>
      </c>
      <c r="D9" s="12">
        <v>6415.7186477854002</v>
      </c>
      <c r="E9" s="12">
        <v>6161.4530000000004</v>
      </c>
      <c r="F9" s="24">
        <f t="shared" ref="F9:F10" si="0">(B9-C9)/C9</f>
        <v>1.3857869084640222E-2</v>
      </c>
      <c r="G9" s="24">
        <f t="shared" ref="G9:G10" si="1">(B9-D9)/D9</f>
        <v>3.2830981303115236E-2</v>
      </c>
      <c r="H9" s="24">
        <f t="shared" ref="H9:H10" si="2">(B9-E9)/E9</f>
        <v>7.545297947690098E-2</v>
      </c>
    </row>
    <row r="10" spans="1:9" x14ac:dyDescent="0.35">
      <c r="A10" t="s">
        <v>257</v>
      </c>
      <c r="B10" s="12">
        <v>6496.0628402931961</v>
      </c>
      <c r="C10" s="12">
        <v>6349.7443243783928</v>
      </c>
      <c r="D10" s="12">
        <v>6326.0405075813997</v>
      </c>
      <c r="E10" s="12">
        <v>6013.1490000000003</v>
      </c>
      <c r="F10" s="24">
        <f t="shared" si="0"/>
        <v>2.3043213779970137E-2</v>
      </c>
      <c r="G10" s="24">
        <f t="shared" si="1"/>
        <v>2.6876579830311612E-2</v>
      </c>
      <c r="H10" s="24">
        <f t="shared" si="2"/>
        <v>8.0309641469585358E-2</v>
      </c>
    </row>
    <row r="11" spans="1:9" x14ac:dyDescent="0.35">
      <c r="A11" s="66" t="s">
        <v>251</v>
      </c>
      <c r="B11" s="66"/>
      <c r="C11" s="66"/>
      <c r="D11" s="66"/>
      <c r="E11" s="12"/>
      <c r="F11" s="24"/>
      <c r="G11" s="24"/>
      <c r="H11" s="24"/>
    </row>
    <row r="12" spans="1:9" x14ac:dyDescent="0.35">
      <c r="A12" s="26" t="s">
        <v>19</v>
      </c>
      <c r="B12" s="26"/>
      <c r="C12" s="26"/>
      <c r="D12" s="26"/>
      <c r="E12" s="28"/>
      <c r="F12" s="29"/>
      <c r="G12" s="29"/>
      <c r="H12" s="29"/>
    </row>
    <row r="13" spans="1:9" ht="16.5" x14ac:dyDescent="0.35">
      <c r="A13" t="s">
        <v>258</v>
      </c>
      <c r="B13" s="12">
        <v>764.76542640000002</v>
      </c>
      <c r="C13" s="12">
        <v>501.56402473000003</v>
      </c>
      <c r="D13" s="12">
        <v>1028.08241567</v>
      </c>
      <c r="E13" s="12">
        <v>793.34388877999993</v>
      </c>
      <c r="F13" s="24"/>
      <c r="G13" s="24"/>
      <c r="H13" s="24">
        <f t="shared" ref="H13:H16" si="3">(B13-E13)/E13</f>
        <v>-3.6022792617647452E-2</v>
      </c>
    </row>
    <row r="14" spans="1:9" ht="16.5" x14ac:dyDescent="0.35">
      <c r="A14" t="s">
        <v>259</v>
      </c>
      <c r="B14" s="12">
        <v>1244.2453870157001</v>
      </c>
      <c r="C14" s="12">
        <v>825.00381047215353</v>
      </c>
      <c r="D14" s="12">
        <v>1516.7759904344011</v>
      </c>
      <c r="E14" s="12">
        <v>1203.9455039006009</v>
      </c>
      <c r="F14" s="24"/>
      <c r="G14" s="24"/>
      <c r="H14" s="24">
        <f t="shared" si="3"/>
        <v>3.3473178797988515E-2</v>
      </c>
    </row>
    <row r="15" spans="1:9" ht="16.5" x14ac:dyDescent="0.35">
      <c r="A15" t="s">
        <v>260</v>
      </c>
      <c r="B15" s="12">
        <v>590.46339551570009</v>
      </c>
      <c r="C15" s="12">
        <v>388.85221559215353</v>
      </c>
      <c r="D15" s="12">
        <v>580.08835341688052</v>
      </c>
      <c r="E15" s="12">
        <v>489.93145304308024</v>
      </c>
      <c r="F15" s="24"/>
      <c r="G15" s="24"/>
      <c r="H15" s="24">
        <f t="shared" si="3"/>
        <v>0.20519593475412151</v>
      </c>
    </row>
    <row r="16" spans="1:9" ht="16.5" x14ac:dyDescent="0.35">
      <c r="A16" t="s">
        <v>261</v>
      </c>
      <c r="B16" s="12">
        <v>260.17514813270009</v>
      </c>
      <c r="C16" s="12">
        <v>164.67638861496755</v>
      </c>
      <c r="D16" s="12">
        <v>137.47549074764368</v>
      </c>
      <c r="E16" s="12">
        <v>155.67611786884345</v>
      </c>
      <c r="F16" s="24"/>
      <c r="G16" s="24"/>
      <c r="H16" s="24">
        <f t="shared" si="3"/>
        <v>0.67125922520689196</v>
      </c>
    </row>
    <row r="17" spans="1:10" ht="16.5" x14ac:dyDescent="0.35">
      <c r="A17" s="21" t="s">
        <v>262</v>
      </c>
      <c r="B17" s="130">
        <v>0.52544457734987837</v>
      </c>
      <c r="C17" s="130">
        <v>0.52866615807554673</v>
      </c>
      <c r="D17" s="130">
        <v>0.61755173006744102</v>
      </c>
      <c r="E17" s="130">
        <v>0.59306176944406819</v>
      </c>
      <c r="F17" s="65">
        <f>(B17-C17)*100</f>
        <v>-0.32215807256683604</v>
      </c>
      <c r="G17" s="65">
        <f>(B17-D17)*100</f>
        <v>-9.2107152717562641</v>
      </c>
      <c r="H17" s="65">
        <f>(B17-E17)*100</f>
        <v>-6.7617192094189811</v>
      </c>
    </row>
    <row r="18" spans="1:10" ht="16.5" x14ac:dyDescent="0.35">
      <c r="A18" s="21" t="s">
        <v>263</v>
      </c>
      <c r="B18" s="130">
        <v>5.4508997970695743E-2</v>
      </c>
      <c r="C18" s="130">
        <v>5.2383521178938582E-2</v>
      </c>
      <c r="D18" s="130">
        <v>2.3972066855243397E-2</v>
      </c>
      <c r="E18" s="110"/>
      <c r="F18" s="65">
        <f>(B18-C18)*100</f>
        <v>0.2125476791757161</v>
      </c>
      <c r="G18" s="65">
        <f>(B18-D18)*100</f>
        <v>3.0536931115452344</v>
      </c>
      <c r="H18" s="65"/>
    </row>
    <row r="19" spans="1:10" ht="34.9" customHeight="1" x14ac:dyDescent="0.35">
      <c r="A19" s="134" t="s">
        <v>264</v>
      </c>
      <c r="B19" s="134"/>
      <c r="C19" s="134"/>
      <c r="D19" s="134"/>
      <c r="E19" s="134"/>
      <c r="F19" s="134"/>
      <c r="G19" s="134"/>
      <c r="H19" s="134"/>
      <c r="I19" s="108"/>
      <c r="J19" s="108"/>
    </row>
    <row r="20" spans="1:10" x14ac:dyDescent="0.35">
      <c r="A20" s="26" t="s">
        <v>20</v>
      </c>
      <c r="B20" s="26"/>
      <c r="C20" s="26"/>
      <c r="D20" s="26"/>
      <c r="E20" s="28"/>
      <c r="F20" s="29"/>
      <c r="G20" s="29"/>
      <c r="H20" s="29"/>
    </row>
    <row r="21" spans="1:10" x14ac:dyDescent="0.35">
      <c r="A21" t="s">
        <v>265</v>
      </c>
      <c r="B21" s="12">
        <v>1951.3101889000002</v>
      </c>
      <c r="C21" s="12">
        <v>1961.8354991300002</v>
      </c>
      <c r="D21" s="12">
        <v>1960.5670550900002</v>
      </c>
      <c r="E21" s="12">
        <v>1861.8331304399999</v>
      </c>
      <c r="F21" s="24">
        <f t="shared" ref="F21" si="4">(B21-C21)/C21</f>
        <v>-5.3650319992005627E-3</v>
      </c>
      <c r="G21" s="24">
        <f t="shared" ref="G21" si="5">(B21-D21)/D21</f>
        <v>-4.7215249108503686E-3</v>
      </c>
      <c r="H21" s="24">
        <f t="shared" ref="H21" si="6">(B21-E21)/E21</f>
        <v>4.805858108178284E-2</v>
      </c>
    </row>
    <row r="22" spans="1:10" ht="16.5" x14ac:dyDescent="0.35">
      <c r="A22" t="s">
        <v>266</v>
      </c>
      <c r="B22" s="12">
        <v>1886.7404980199885</v>
      </c>
      <c r="C22" s="12">
        <v>1943.3024506499914</v>
      </c>
      <c r="D22" s="12">
        <v>2208.5598206799996</v>
      </c>
      <c r="E22" s="12">
        <v>2322.9821991399995</v>
      </c>
      <c r="F22" s="24">
        <f t="shared" ref="F22:F23" si="7">(B22-C22)/C22</f>
        <v>-2.910609854430235E-2</v>
      </c>
      <c r="G22" s="24">
        <f t="shared" ref="G22:G23" si="8">(B22-D22)/D22</f>
        <v>-0.14571456007060982</v>
      </c>
      <c r="H22" s="24">
        <f t="shared" ref="H22:H23" si="9">(B22-E22)/E22</f>
        <v>-0.18779382006522208</v>
      </c>
    </row>
    <row r="23" spans="1:10" x14ac:dyDescent="0.35">
      <c r="A23" t="s">
        <v>267</v>
      </c>
      <c r="B23" s="12">
        <v>3838.0506869199889</v>
      </c>
      <c r="C23" s="12">
        <v>3905.1379497799917</v>
      </c>
      <c r="D23" s="12">
        <v>4169.12687577</v>
      </c>
      <c r="E23" s="12">
        <v>4184.8153295799993</v>
      </c>
      <c r="F23" s="24">
        <f t="shared" si="7"/>
        <v>-1.7179229958773239E-2</v>
      </c>
      <c r="G23" s="24">
        <f t="shared" si="8"/>
        <v>-7.9411396850057298E-2</v>
      </c>
      <c r="H23" s="24">
        <f t="shared" si="9"/>
        <v>-8.286259138101866E-2</v>
      </c>
    </row>
    <row r="24" spans="1:10" x14ac:dyDescent="0.35">
      <c r="A24" t="s">
        <v>268</v>
      </c>
      <c r="B24" s="110">
        <v>3.5289808275378066E-2</v>
      </c>
      <c r="C24" s="110">
        <v>3.4908992365200855E-2</v>
      </c>
      <c r="D24" s="110">
        <v>3.5336782489562353E-2</v>
      </c>
      <c r="E24" s="110">
        <v>3.3888222631621383E-2</v>
      </c>
      <c r="F24" s="65">
        <f t="shared" ref="F24:F28" si="10">(B24-C24)*100</f>
        <v>3.80815910177211E-2</v>
      </c>
      <c r="G24" s="65">
        <f t="shared" ref="G24:G28" si="11">(B24-D24)*100</f>
        <v>-4.69742141842866E-3</v>
      </c>
      <c r="H24" s="65">
        <f t="shared" ref="H24:H28" si="12">(B24-E24)*100</f>
        <v>0.14015856437566837</v>
      </c>
    </row>
    <row r="25" spans="1:10" ht="16.5" x14ac:dyDescent="0.35">
      <c r="A25" t="s">
        <v>269</v>
      </c>
      <c r="B25" s="109">
        <v>0.64717800009638471</v>
      </c>
      <c r="C25" s="109">
        <v>0.64918107009215975</v>
      </c>
      <c r="D25" s="109">
        <v>0.68523702629425953</v>
      </c>
      <c r="E25" s="109">
        <v>0.72073515138702926</v>
      </c>
      <c r="F25" s="65">
        <f t="shared" si="10"/>
        <v>-0.2003069995775042</v>
      </c>
      <c r="G25" s="65">
        <f t="shared" si="11"/>
        <v>-3.8059026197874823</v>
      </c>
      <c r="H25" s="65">
        <f t="shared" si="12"/>
        <v>-7.3557151290644551</v>
      </c>
    </row>
    <row r="26" spans="1:10" x14ac:dyDescent="0.35">
      <c r="A26" t="s">
        <v>270</v>
      </c>
      <c r="B26" s="110">
        <v>0.63420755860000821</v>
      </c>
      <c r="C26" s="110">
        <v>0.6307713871564482</v>
      </c>
      <c r="D26" s="110">
        <v>0.62727718661581777</v>
      </c>
      <c r="E26" s="110">
        <v>0.62064544953327072</v>
      </c>
      <c r="F26" s="65">
        <f t="shared" si="10"/>
        <v>0.34361714435600099</v>
      </c>
      <c r="G26" s="65">
        <f t="shared" si="11"/>
        <v>0.69303719841904421</v>
      </c>
      <c r="H26" s="65">
        <f t="shared" si="12"/>
        <v>1.3562109066737493</v>
      </c>
    </row>
    <row r="27" spans="1:10" x14ac:dyDescent="0.35">
      <c r="A27" t="s">
        <v>271</v>
      </c>
      <c r="B27" s="110">
        <v>0.64080188387368542</v>
      </c>
      <c r="C27" s="110">
        <v>0.64001991306653572</v>
      </c>
      <c r="D27" s="110">
        <v>0.65453328977071723</v>
      </c>
      <c r="E27" s="110">
        <v>0.66517556812894418</v>
      </c>
      <c r="F27" s="65">
        <f t="shared" si="10"/>
        <v>7.8197080714970113E-2</v>
      </c>
      <c r="G27" s="65">
        <f t="shared" si="11"/>
        <v>-1.3731405897031812</v>
      </c>
      <c r="H27" s="65">
        <f t="shared" si="12"/>
        <v>-2.4373684255258765</v>
      </c>
    </row>
    <row r="28" spans="1:10" x14ac:dyDescent="0.35">
      <c r="A28" t="s">
        <v>272</v>
      </c>
      <c r="B28" s="125">
        <v>2.8852824077789064E-3</v>
      </c>
      <c r="C28" s="125">
        <v>2.7318136884741961E-3</v>
      </c>
      <c r="D28" s="125">
        <v>4.0597866861288847E-3</v>
      </c>
      <c r="E28" s="125">
        <v>4.1047787814550022E-3</v>
      </c>
      <c r="F28" s="65">
        <f t="shared" si="10"/>
        <v>1.5346871930471033E-2</v>
      </c>
      <c r="G28" s="65">
        <f t="shared" si="11"/>
        <v>-0.11745042783499783</v>
      </c>
      <c r="H28" s="65">
        <f t="shared" si="12"/>
        <v>-0.12194963736760958</v>
      </c>
    </row>
    <row r="29" spans="1:10" ht="7.15" customHeight="1" x14ac:dyDescent="0.35">
      <c r="A29" s="15"/>
      <c r="B29" s="15"/>
      <c r="C29" s="15"/>
      <c r="E29" s="12"/>
      <c r="F29" s="24"/>
      <c r="G29" s="24"/>
      <c r="H29" s="24"/>
    </row>
    <row r="30" spans="1:10" x14ac:dyDescent="0.35">
      <c r="A30" s="26" t="s">
        <v>21</v>
      </c>
      <c r="B30" s="26"/>
      <c r="C30" s="26"/>
      <c r="D30" s="26"/>
      <c r="E30" s="28"/>
      <c r="F30" s="29"/>
      <c r="G30" s="29"/>
      <c r="H30" s="29"/>
    </row>
    <row r="31" spans="1:10" x14ac:dyDescent="0.35">
      <c r="A31" t="s">
        <v>273</v>
      </c>
      <c r="B31" s="110">
        <v>0.79376160639357318</v>
      </c>
      <c r="C31" s="110">
        <v>0.79343153573817826</v>
      </c>
      <c r="D31" s="110">
        <v>0.75007571207512225</v>
      </c>
      <c r="E31" s="110">
        <v>0.74969922087092267</v>
      </c>
      <c r="F31" s="65">
        <f>(B31-C31)*100</f>
        <v>3.3007065539492064E-2</v>
      </c>
      <c r="G31" s="65">
        <f>(B31-D31)*100</f>
        <v>4.3685894318450931</v>
      </c>
      <c r="H31" s="65">
        <f>(B31-E31)*100</f>
        <v>4.4062385522650516</v>
      </c>
    </row>
    <row r="32" spans="1:10" x14ac:dyDescent="0.35">
      <c r="A32" t="s">
        <v>274</v>
      </c>
      <c r="B32" s="126">
        <v>2.72</v>
      </c>
      <c r="C32" s="126">
        <v>3.33</v>
      </c>
      <c r="D32" s="126">
        <v>3.07</v>
      </c>
      <c r="E32" s="126">
        <v>3.0014147350092504</v>
      </c>
      <c r="F32" s="65">
        <f t="shared" ref="F32:F33" si="13">(B32-C32)*100</f>
        <v>-60.999999999999986</v>
      </c>
      <c r="G32" s="65">
        <f t="shared" ref="G32:G33" si="14">(B32-D32)*100</f>
        <v>-34.999999999999964</v>
      </c>
      <c r="H32" s="65">
        <f t="shared" ref="H32:H33" si="15">(B32-E32)*100</f>
        <v>-28.141473500925017</v>
      </c>
    </row>
    <row r="33" spans="1:10" x14ac:dyDescent="0.35">
      <c r="A33" t="s">
        <v>275</v>
      </c>
      <c r="B33" s="126">
        <v>1.42</v>
      </c>
      <c r="C33" s="126">
        <v>1.42</v>
      </c>
      <c r="D33" s="126">
        <v>1.42</v>
      </c>
      <c r="E33" s="126">
        <v>1.398289435319273</v>
      </c>
      <c r="F33" s="65">
        <f t="shared" si="13"/>
        <v>0</v>
      </c>
      <c r="G33" s="65">
        <f t="shared" si="14"/>
        <v>0</v>
      </c>
      <c r="H33" s="65">
        <f t="shared" si="15"/>
        <v>2.1710564680726963</v>
      </c>
    </row>
    <row r="34" spans="1:10" x14ac:dyDescent="0.35">
      <c r="A34" s="111"/>
      <c r="B34" s="111"/>
      <c r="C34" s="111"/>
      <c r="E34" s="12"/>
      <c r="F34" s="24"/>
      <c r="G34" s="24"/>
      <c r="H34" s="24"/>
    </row>
    <row r="35" spans="1:10" x14ac:dyDescent="0.35">
      <c r="A35" s="26" t="s">
        <v>22</v>
      </c>
      <c r="B35" s="26"/>
      <c r="C35" s="26"/>
      <c r="D35" s="29"/>
      <c r="E35" s="29"/>
      <c r="F35" s="29"/>
      <c r="G35" s="29"/>
      <c r="H35" s="29"/>
    </row>
    <row r="36" spans="1:10" x14ac:dyDescent="0.35">
      <c r="A36" t="s">
        <v>276</v>
      </c>
      <c r="B36" s="110">
        <v>0.13647416506146409</v>
      </c>
      <c r="C36" s="110">
        <v>0.13498577499229208</v>
      </c>
      <c r="D36" s="110">
        <v>0.13607663691379682</v>
      </c>
      <c r="E36" s="110">
        <v>0.14890299586896891</v>
      </c>
      <c r="F36" s="65">
        <v>0.14883900691720076</v>
      </c>
      <c r="G36" s="65">
        <v>3.975281476672754E-2</v>
      </c>
      <c r="H36" s="65">
        <v>-1.2428830807504814</v>
      </c>
    </row>
    <row r="37" spans="1:10" x14ac:dyDescent="0.35">
      <c r="A37" t="s">
        <v>277</v>
      </c>
      <c r="B37" s="118">
        <v>0.13005326367568049</v>
      </c>
      <c r="C37" s="118">
        <v>0.12759413624604771</v>
      </c>
      <c r="D37" s="118">
        <v>0.1252187119877472</v>
      </c>
      <c r="E37" s="110">
        <v>0.1360992038997012</v>
      </c>
      <c r="F37" s="65">
        <v>0.24591274296327792</v>
      </c>
      <c r="G37" s="65">
        <v>0.48345516879332862</v>
      </c>
      <c r="H37" s="65">
        <v>-0.60459402240207183</v>
      </c>
    </row>
    <row r="38" spans="1:10" x14ac:dyDescent="0.35">
      <c r="A38" t="s">
        <v>278</v>
      </c>
      <c r="B38" s="118">
        <v>0.17059418660782255</v>
      </c>
      <c r="C38" s="118">
        <v>0.16836165046150325</v>
      </c>
      <c r="D38" s="118">
        <v>0.1682044685658251</v>
      </c>
      <c r="E38" s="110">
        <v>0.16623858885979981</v>
      </c>
      <c r="F38" s="65">
        <v>0.22325361463192972</v>
      </c>
      <c r="G38" s="65">
        <v>0.23897180419974462</v>
      </c>
      <c r="H38" s="65">
        <v>0.43555977480227437</v>
      </c>
    </row>
    <row r="39" spans="1:10" x14ac:dyDescent="0.35">
      <c r="A39" t="s">
        <v>279</v>
      </c>
      <c r="B39" s="118">
        <v>0.16431521244768316</v>
      </c>
      <c r="C39" s="118">
        <v>0.1610630835872377</v>
      </c>
      <c r="D39" s="118">
        <v>0.15755442848977363</v>
      </c>
      <c r="E39" s="110">
        <v>0.15420434052783741</v>
      </c>
      <c r="F39" s="65">
        <v>0.32521288604454579</v>
      </c>
      <c r="G39" s="65">
        <v>0.67607839579095219</v>
      </c>
      <c r="H39" s="65">
        <v>1.0110871919845748</v>
      </c>
    </row>
    <row r="40" spans="1:10" x14ac:dyDescent="0.35">
      <c r="A40" t="s">
        <v>280</v>
      </c>
      <c r="B40" s="12">
        <v>34245.231805771327</v>
      </c>
      <c r="C40" s="12">
        <v>34899</v>
      </c>
      <c r="D40" s="12">
        <v>35291.235999999997</v>
      </c>
      <c r="E40" s="12">
        <v>35698.96643757038</v>
      </c>
      <c r="F40" s="24">
        <v>-1.8733149781617602E-2</v>
      </c>
      <c r="G40" s="24">
        <v>-2.9639205445472917E-2</v>
      </c>
      <c r="H40" s="24">
        <v>-4.0722036990659481E-2</v>
      </c>
    </row>
    <row r="41" spans="1:10" x14ac:dyDescent="0.35">
      <c r="A41" t="s">
        <v>281</v>
      </c>
      <c r="B41" s="118">
        <v>0.42856944983082462</v>
      </c>
      <c r="C41" s="118">
        <v>0.4413028862864859</v>
      </c>
      <c r="D41" s="118">
        <v>0.46042909169423146</v>
      </c>
      <c r="E41" s="118">
        <v>0.47572094743658561</v>
      </c>
      <c r="F41" s="65">
        <v>-1.2733436455661273</v>
      </c>
      <c r="G41" s="65">
        <v>-3.185964186340684</v>
      </c>
      <c r="H41" s="65">
        <v>-4.7151497605760984</v>
      </c>
    </row>
    <row r="42" spans="1:10" x14ac:dyDescent="0.35">
      <c r="A42" s="135"/>
      <c r="B42" s="135"/>
      <c r="C42" s="135"/>
      <c r="D42" s="135"/>
      <c r="E42" s="135"/>
      <c r="F42" s="135"/>
      <c r="G42" s="135"/>
      <c r="H42" s="135"/>
      <c r="I42" s="135"/>
      <c r="J42" s="135"/>
    </row>
    <row r="43" spans="1:10" x14ac:dyDescent="0.35">
      <c r="A43" s="26" t="s">
        <v>24</v>
      </c>
      <c r="B43" s="26"/>
      <c r="C43" s="26"/>
      <c r="D43" s="26"/>
      <c r="E43" s="30"/>
      <c r="F43" s="31"/>
      <c r="G43" s="31"/>
      <c r="H43" s="31"/>
    </row>
    <row r="44" spans="1:10" x14ac:dyDescent="0.35">
      <c r="A44" t="s">
        <v>245</v>
      </c>
      <c r="B44" s="12">
        <v>8063</v>
      </c>
      <c r="C44" s="12">
        <v>8337</v>
      </c>
      <c r="D44" s="12">
        <v>9264</v>
      </c>
      <c r="E44" s="12">
        <v>9546</v>
      </c>
      <c r="F44" s="24">
        <f t="shared" ref="F44:F46" si="16">(B44-C44)/C44</f>
        <v>-3.2865539162768381E-2</v>
      </c>
      <c r="G44" s="24">
        <f t="shared" ref="G44:G46" si="17">(B44-D44)/D44</f>
        <v>-0.12964162348877376</v>
      </c>
      <c r="H44" s="24">
        <f t="shared" ref="H44:H46" si="18">(B44-E44)/E44</f>
        <v>-0.1553530274460507</v>
      </c>
    </row>
    <row r="45" spans="1:10" x14ac:dyDescent="0.35">
      <c r="A45" t="s">
        <v>25</v>
      </c>
      <c r="B45" s="12">
        <v>966</v>
      </c>
      <c r="C45" s="12">
        <v>1097</v>
      </c>
      <c r="D45" s="12">
        <v>1368</v>
      </c>
      <c r="E45" s="12">
        <v>1371</v>
      </c>
      <c r="F45" s="24">
        <f t="shared" si="16"/>
        <v>-0.11941659070191431</v>
      </c>
      <c r="G45" s="24">
        <f t="shared" si="17"/>
        <v>-0.29385964912280704</v>
      </c>
      <c r="H45" s="24">
        <f t="shared" si="18"/>
        <v>-0.29540481400437635</v>
      </c>
    </row>
    <row r="46" spans="1:10" x14ac:dyDescent="0.35">
      <c r="A46" t="s">
        <v>26</v>
      </c>
      <c r="B46" s="12">
        <v>2482</v>
      </c>
      <c r="C46" s="12">
        <v>2506</v>
      </c>
      <c r="D46" s="12">
        <v>2679</v>
      </c>
      <c r="E46" s="12">
        <v>2683</v>
      </c>
      <c r="F46" s="24">
        <f t="shared" si="16"/>
        <v>-9.5770151636073424E-3</v>
      </c>
      <c r="G46" s="24">
        <f t="shared" si="17"/>
        <v>-7.353490108249347E-2</v>
      </c>
      <c r="H46" s="24">
        <f t="shared" si="18"/>
        <v>-7.4916138650764075E-2</v>
      </c>
    </row>
  </sheetData>
  <mergeCells count="2">
    <mergeCell ref="A19:H19"/>
    <mergeCell ref="A42:J42"/>
  </mergeCells>
  <pageMargins left="0.70866141732283472" right="0.70866141732283472" top="0.74803149606299213" bottom="0.74803149606299213" header="0.31496062992125984" footer="0.31496062992125984"/>
  <pageSetup paperSize="9" scale="56" orientation="portrait" horizontalDpi="4294967294" vertic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36"/>
  <sheetViews>
    <sheetView showGridLines="0" zoomScale="85" zoomScaleNormal="8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2" sqref="B2"/>
    </sheetView>
  </sheetViews>
  <sheetFormatPr baseColWidth="10" defaultRowHeight="14.5" x14ac:dyDescent="0.35"/>
  <cols>
    <col min="1" max="1" width="57.7265625" customWidth="1"/>
    <col min="2" max="4" width="11.26953125" customWidth="1"/>
    <col min="5" max="5" width="11.26953125" bestFit="1" customWidth="1"/>
    <col min="6" max="8" width="10.81640625" customWidth="1"/>
  </cols>
  <sheetData>
    <row r="1" spans="1:8" ht="15.5" x14ac:dyDescent="0.35">
      <c r="A1" s="19" t="s">
        <v>17</v>
      </c>
      <c r="B1" s="19"/>
      <c r="C1" s="19"/>
      <c r="D1" s="19"/>
      <c r="E1" s="19"/>
    </row>
    <row r="2" spans="1:8" ht="15" thickBot="1" x14ac:dyDescent="0.4">
      <c r="A2" s="20" t="s">
        <v>49</v>
      </c>
      <c r="B2" s="22">
        <f>MAX(Relevantes!$2:$2)</f>
        <v>44834</v>
      </c>
      <c r="C2" s="22">
        <f>EOMONTH(B2,-3)</f>
        <v>44742</v>
      </c>
      <c r="D2" s="22">
        <f>EOMONTH(B2,-MONTH(B2))</f>
        <v>44561</v>
      </c>
      <c r="E2" s="22">
        <f>EOMONTH(B2,-12)</f>
        <v>44469</v>
      </c>
      <c r="F2" s="23" t="s">
        <v>226</v>
      </c>
      <c r="G2" s="23" t="s">
        <v>247</v>
      </c>
      <c r="H2" s="23" t="s">
        <v>227</v>
      </c>
    </row>
    <row r="3" spans="1:8" x14ac:dyDescent="0.35">
      <c r="A3" t="s">
        <v>50</v>
      </c>
      <c r="B3" s="12">
        <v>16244.720081089999</v>
      </c>
      <c r="C3" s="12">
        <v>19781.597845</v>
      </c>
      <c r="D3" s="12">
        <v>21297.502719</v>
      </c>
      <c r="E3" s="12">
        <v>15366.99</v>
      </c>
      <c r="F3" s="25">
        <f>(+B3-C3)/C3</f>
        <v>-0.17879636375299091</v>
      </c>
      <c r="G3" s="25">
        <f>(+B3-D3)/D3</f>
        <v>-0.23724765783935292</v>
      </c>
      <c r="H3" s="25">
        <f t="shared" ref="H3" si="0">(+B3-E3)/E3</f>
        <v>5.7117892384260009E-2</v>
      </c>
    </row>
    <row r="4" spans="1:8" x14ac:dyDescent="0.35">
      <c r="A4" s="87" t="s">
        <v>51</v>
      </c>
      <c r="B4" s="12">
        <v>189.71064000000001</v>
      </c>
      <c r="C4" s="12">
        <v>205.29508268000004</v>
      </c>
      <c r="D4" s="12">
        <v>272.96827300000001</v>
      </c>
      <c r="E4" s="12">
        <v>356.04500000000002</v>
      </c>
      <c r="F4" s="25">
        <f t="shared" ref="F4:F17" si="1">(+B4-C4)/C4</f>
        <v>-7.5912401196145493E-2</v>
      </c>
      <c r="G4" s="25">
        <f t="shared" ref="G4:G17" si="2">(+B4-D4)/D4</f>
        <v>-0.30500846155113415</v>
      </c>
      <c r="H4" s="25">
        <f t="shared" ref="H4:H17" si="3">(+B4-E4)/E4</f>
        <v>-0.46717229563678747</v>
      </c>
    </row>
    <row r="5" spans="1:8" x14ac:dyDescent="0.35">
      <c r="A5" s="87" t="s">
        <v>52</v>
      </c>
      <c r="B5" s="12">
        <v>1098.2784333299999</v>
      </c>
      <c r="C5" s="12">
        <v>977.30320995</v>
      </c>
      <c r="D5" s="12">
        <v>1297.81982143</v>
      </c>
      <c r="E5" s="12">
        <v>1345.99</v>
      </c>
      <c r="F5" s="25">
        <f t="shared" si="1"/>
        <v>0.12378473962670103</v>
      </c>
      <c r="G5" s="25">
        <f t="shared" si="2"/>
        <v>-0.15375122555928905</v>
      </c>
      <c r="H5" s="25">
        <f t="shared" si="3"/>
        <v>-0.18403670656542778</v>
      </c>
    </row>
    <row r="6" spans="1:8" x14ac:dyDescent="0.35">
      <c r="A6" s="87" t="s">
        <v>53</v>
      </c>
      <c r="B6" s="12">
        <v>56722.358032749995</v>
      </c>
      <c r="C6" s="12">
        <v>57353.902671789998</v>
      </c>
      <c r="D6" s="12">
        <v>57142.079089999999</v>
      </c>
      <c r="E6" s="12">
        <v>56839.437000000005</v>
      </c>
      <c r="F6" s="25">
        <f t="shared" si="1"/>
        <v>-1.1011362952126246E-2</v>
      </c>
      <c r="G6" s="25">
        <f t="shared" si="2"/>
        <v>-7.3452185138194693E-3</v>
      </c>
      <c r="H6" s="25">
        <f t="shared" si="3"/>
        <v>-2.0598192633401778E-3</v>
      </c>
    </row>
    <row r="7" spans="1:8" x14ac:dyDescent="0.35">
      <c r="A7" s="131" t="s">
        <v>54</v>
      </c>
      <c r="B7" s="12">
        <v>1029.5883676399999</v>
      </c>
      <c r="C7" s="12">
        <v>877.84499399999993</v>
      </c>
      <c r="D7" s="12">
        <v>1118.9840900000002</v>
      </c>
      <c r="E7" s="12">
        <v>1452.9929999999999</v>
      </c>
      <c r="F7" s="118">
        <f t="shared" si="1"/>
        <v>0.17285896106619475</v>
      </c>
      <c r="G7" s="118">
        <f t="shared" si="2"/>
        <v>-7.9890074540738334E-2</v>
      </c>
      <c r="H7" s="118">
        <f t="shared" si="3"/>
        <v>-0.29140170142595323</v>
      </c>
    </row>
    <row r="8" spans="1:8" x14ac:dyDescent="0.35">
      <c r="A8" s="131" t="s">
        <v>55</v>
      </c>
      <c r="B8" s="12">
        <v>55692.769665109998</v>
      </c>
      <c r="C8" s="12">
        <v>56476.057677789999</v>
      </c>
      <c r="D8" s="12">
        <v>56023.095000000001</v>
      </c>
      <c r="E8" s="12">
        <v>55386.444000000003</v>
      </c>
      <c r="F8" s="118">
        <f t="shared" si="1"/>
        <v>-1.3869381909566963E-2</v>
      </c>
      <c r="G8" s="118">
        <f t="shared" si="2"/>
        <v>-5.8962350239665168E-3</v>
      </c>
      <c r="H8" s="118">
        <f t="shared" si="3"/>
        <v>5.5306974592915651E-3</v>
      </c>
    </row>
    <row r="9" spans="1:8" x14ac:dyDescent="0.35">
      <c r="A9" s="87" t="s">
        <v>56</v>
      </c>
      <c r="B9" s="12">
        <v>27294.914761</v>
      </c>
      <c r="C9" s="12">
        <v>25415.173518</v>
      </c>
      <c r="D9" s="12">
        <v>24849.658679</v>
      </c>
      <c r="E9" s="12">
        <v>24932.083999999999</v>
      </c>
      <c r="F9" s="25">
        <f t="shared" si="1"/>
        <v>7.3961377508152584E-2</v>
      </c>
      <c r="G9" s="25">
        <f t="shared" si="2"/>
        <v>9.8401998739179541E-2</v>
      </c>
      <c r="H9" s="25">
        <f t="shared" si="3"/>
        <v>9.4770688282616131E-2</v>
      </c>
    </row>
    <row r="10" spans="1:8" x14ac:dyDescent="0.35">
      <c r="A10" s="87" t="s">
        <v>57</v>
      </c>
      <c r="B10" s="12">
        <v>2201.0303879999997</v>
      </c>
      <c r="C10" s="12">
        <v>1586.484725</v>
      </c>
      <c r="D10" s="12">
        <v>815.04437699999994</v>
      </c>
      <c r="E10" s="12">
        <v>796.36300000000006</v>
      </c>
      <c r="F10" s="25">
        <f t="shared" si="1"/>
        <v>0.38736311375453025</v>
      </c>
      <c r="G10" s="25">
        <f t="shared" si="2"/>
        <v>1.700503739565091</v>
      </c>
      <c r="H10" s="25">
        <f t="shared" si="3"/>
        <v>1.763853152394071</v>
      </c>
    </row>
    <row r="11" spans="1:8" x14ac:dyDescent="0.35">
      <c r="A11" s="87" t="s">
        <v>58</v>
      </c>
      <c r="B11" s="12">
        <v>950.09645675429999</v>
      </c>
      <c r="C11" s="12">
        <v>976.73775565550011</v>
      </c>
      <c r="D11" s="12">
        <v>1052.0329999999999</v>
      </c>
      <c r="E11" s="12">
        <v>1030.067</v>
      </c>
      <c r="F11" s="25">
        <f t="shared" si="1"/>
        <v>-2.7275795111780878E-2</v>
      </c>
      <c r="G11" s="25">
        <f t="shared" si="2"/>
        <v>-9.6894815320146724E-2</v>
      </c>
      <c r="H11" s="25">
        <f t="shared" si="3"/>
        <v>-7.763625399677887E-2</v>
      </c>
    </row>
    <row r="12" spans="1:8" x14ac:dyDescent="0.35">
      <c r="A12" s="87" t="s">
        <v>59</v>
      </c>
      <c r="B12" s="12">
        <v>2124.6064383499997</v>
      </c>
      <c r="C12" s="12">
        <v>2175.6878733699996</v>
      </c>
      <c r="D12" s="12">
        <v>2249.2966971899996</v>
      </c>
      <c r="E12" s="12">
        <v>2272.645</v>
      </c>
      <c r="F12" s="25">
        <f t="shared" si="1"/>
        <v>-2.3478291921018069E-2</v>
      </c>
      <c r="G12" s="25">
        <f t="shared" si="2"/>
        <v>-5.543522070510877E-2</v>
      </c>
      <c r="H12" s="25">
        <f t="shared" si="3"/>
        <v>-6.5139325169571244E-2</v>
      </c>
    </row>
    <row r="13" spans="1:8" x14ac:dyDescent="0.35">
      <c r="A13" s="87" t="s">
        <v>60</v>
      </c>
      <c r="B13" s="12">
        <v>76.018668999999989</v>
      </c>
      <c r="C13" s="12">
        <v>78.864838000000006</v>
      </c>
      <c r="D13" s="12">
        <v>79.805816000000007</v>
      </c>
      <c r="E13" s="12">
        <v>83.74</v>
      </c>
      <c r="F13" s="25">
        <f t="shared" si="1"/>
        <v>-3.6089201121544401E-2</v>
      </c>
      <c r="G13" s="25">
        <f t="shared" si="2"/>
        <v>-4.7454523865779634E-2</v>
      </c>
      <c r="H13" s="25">
        <f t="shared" si="3"/>
        <v>-9.2206006687365741E-2</v>
      </c>
    </row>
    <row r="14" spans="1:8" x14ac:dyDescent="0.35">
      <c r="A14" s="87" t="s">
        <v>61</v>
      </c>
      <c r="B14" s="12">
        <v>5110.7058301589004</v>
      </c>
      <c r="C14" s="12">
        <v>5137.2194262129005</v>
      </c>
      <c r="D14" s="12">
        <v>5250.0868389288999</v>
      </c>
      <c r="E14" s="12">
        <v>4759.8270000000002</v>
      </c>
      <c r="F14" s="25">
        <f t="shared" si="1"/>
        <v>-5.1610791469629009E-3</v>
      </c>
      <c r="G14" s="25">
        <f t="shared" si="2"/>
        <v>-2.6548324446083894E-2</v>
      </c>
      <c r="H14" s="25">
        <f t="shared" si="3"/>
        <v>7.3716719149435506E-2</v>
      </c>
    </row>
    <row r="15" spans="1:8" x14ac:dyDescent="0.35">
      <c r="A15" t="s">
        <v>62</v>
      </c>
      <c r="B15" s="12">
        <v>353.11483963000001</v>
      </c>
      <c r="C15" s="12">
        <v>541.40932287999999</v>
      </c>
      <c r="D15" s="12">
        <v>543.60872646999974</v>
      </c>
      <c r="E15" s="12">
        <v>625.76499999999999</v>
      </c>
      <c r="F15" s="25">
        <f t="shared" si="1"/>
        <v>-0.34778581618871435</v>
      </c>
      <c r="G15" s="25">
        <f t="shared" si="2"/>
        <v>-0.35042463000364027</v>
      </c>
      <c r="H15" s="25">
        <f t="shared" si="3"/>
        <v>-0.4357069512836288</v>
      </c>
    </row>
    <row r="16" spans="1:8" x14ac:dyDescent="0.35">
      <c r="A16" t="s">
        <v>63</v>
      </c>
      <c r="B16" s="12">
        <v>590.25311288</v>
      </c>
      <c r="C16" s="12">
        <v>601.94183085999998</v>
      </c>
      <c r="D16" s="12">
        <v>700.08917500000007</v>
      </c>
      <c r="E16" s="12">
        <v>734.71400000000006</v>
      </c>
      <c r="F16" s="25">
        <f t="shared" si="1"/>
        <v>-1.9418351376743824E-2</v>
      </c>
      <c r="G16" s="25">
        <f t="shared" si="2"/>
        <v>-0.15688867367503584</v>
      </c>
      <c r="H16" s="25">
        <f t="shared" si="3"/>
        <v>-0.19662193332371514</v>
      </c>
    </row>
    <row r="17" spans="1:8" x14ac:dyDescent="0.35">
      <c r="A17" s="26" t="s">
        <v>64</v>
      </c>
      <c r="B17" s="30">
        <f>+SUM(B9:B16)+SUM(B3:B6)</f>
        <v>112955.80768294321</v>
      </c>
      <c r="C17" s="30">
        <f>+SUM(C9:C16)+SUM(C3:C6)</f>
        <v>114831.61809939839</v>
      </c>
      <c r="D17" s="30">
        <f t="shared" ref="D17:E17" si="4">+SUM(D9:D16)+SUM(D3:D6)</f>
        <v>115549.9932130189</v>
      </c>
      <c r="E17" s="30">
        <f t="shared" si="4"/>
        <v>109143.667</v>
      </c>
      <c r="F17" s="32">
        <f t="shared" si="1"/>
        <v>-1.633531293473086E-2</v>
      </c>
      <c r="G17" s="32">
        <f t="shared" si="2"/>
        <v>-2.2450763154033684E-2</v>
      </c>
      <c r="H17" s="32">
        <f t="shared" si="3"/>
        <v>3.4927731381273905E-2</v>
      </c>
    </row>
    <row r="18" spans="1:8" x14ac:dyDescent="0.35">
      <c r="B18" s="12"/>
      <c r="C18" s="12"/>
      <c r="D18" s="12"/>
      <c r="E18" s="12"/>
      <c r="F18" s="25"/>
      <c r="G18" s="25"/>
      <c r="H18" s="25"/>
    </row>
    <row r="19" spans="1:8" x14ac:dyDescent="0.35">
      <c r="A19" t="s">
        <v>65</v>
      </c>
      <c r="B19" s="12">
        <v>49.741076999999997</v>
      </c>
      <c r="C19" s="12">
        <v>38.305853999999997</v>
      </c>
      <c r="D19" s="12">
        <v>31.122843</v>
      </c>
      <c r="E19" s="12">
        <v>29.356000000000002</v>
      </c>
      <c r="F19" s="25">
        <f t="shared" ref="F19:F32" si="5">(+B19-C19)/C19</f>
        <v>0.29852416291254075</v>
      </c>
      <c r="G19" s="25">
        <f t="shared" ref="G19:G32" si="6">(+B19-D19)/D19</f>
        <v>0.59821764997497173</v>
      </c>
      <c r="H19" s="25">
        <f t="shared" ref="H19:H32" si="7">(+B19-E19)/E19</f>
        <v>0.69440921787709475</v>
      </c>
    </row>
    <row r="20" spans="1:8" x14ac:dyDescent="0.35">
      <c r="A20" t="s">
        <v>66</v>
      </c>
      <c r="B20" s="12">
        <v>102668.29655833</v>
      </c>
      <c r="C20" s="12">
        <v>104670.34853674</v>
      </c>
      <c r="D20" s="12">
        <v>105475.580573</v>
      </c>
      <c r="E20" s="12">
        <v>99616.349999999991</v>
      </c>
      <c r="F20" s="25">
        <f t="shared" si="5"/>
        <v>-1.9127212304134725E-2</v>
      </c>
      <c r="G20" s="25">
        <f t="shared" si="6"/>
        <v>-2.6615487674202212E-2</v>
      </c>
      <c r="H20" s="25">
        <f t="shared" si="7"/>
        <v>3.0637004450875832E-2</v>
      </c>
    </row>
    <row r="21" spans="1:8" x14ac:dyDescent="0.35">
      <c r="A21" s="4" t="s">
        <v>215</v>
      </c>
      <c r="B21" s="12">
        <v>10238.215895490001</v>
      </c>
      <c r="C21" s="12">
        <v>10241.401464999999</v>
      </c>
      <c r="D21" s="12">
        <v>10291.701906999999</v>
      </c>
      <c r="E21" s="12">
        <v>10318.447</v>
      </c>
      <c r="F21" s="25">
        <f t="shared" si="5"/>
        <v>-3.1104820183889344E-4</v>
      </c>
      <c r="G21" s="25">
        <f t="shared" si="6"/>
        <v>-5.197003565913543E-3</v>
      </c>
      <c r="H21" s="25">
        <f t="shared" si="7"/>
        <v>-7.775501924853572E-3</v>
      </c>
    </row>
    <row r="22" spans="1:8" x14ac:dyDescent="0.35">
      <c r="A22" s="4" t="s">
        <v>216</v>
      </c>
      <c r="B22" s="12">
        <v>9069.2683570000008</v>
      </c>
      <c r="C22" s="12">
        <v>7959.6056060000001</v>
      </c>
      <c r="D22" s="12">
        <v>6665.0247280000003</v>
      </c>
      <c r="E22" s="12">
        <v>3864.3020000000001</v>
      </c>
      <c r="F22" s="25">
        <f t="shared" si="5"/>
        <v>0.13941177564922691</v>
      </c>
      <c r="G22" s="25">
        <f t="shared" si="6"/>
        <v>0.36072538769431561</v>
      </c>
      <c r="H22" s="25">
        <f t="shared" si="7"/>
        <v>1.346935709734902</v>
      </c>
    </row>
    <row r="23" spans="1:8" x14ac:dyDescent="0.35">
      <c r="A23" s="4" t="s">
        <v>67</v>
      </c>
      <c r="B23" s="12">
        <v>77842.581393</v>
      </c>
      <c r="C23" s="12">
        <v>79920.603166999994</v>
      </c>
      <c r="D23" s="12">
        <v>84154.210520000008</v>
      </c>
      <c r="E23" s="12">
        <v>82040.994999999995</v>
      </c>
      <c r="F23" s="25">
        <f t="shared" si="5"/>
        <v>-2.6001077214817984E-2</v>
      </c>
      <c r="G23" s="25">
        <f t="shared" si="6"/>
        <v>-7.5000752642079532E-2</v>
      </c>
      <c r="H23" s="25">
        <f t="shared" si="7"/>
        <v>-5.1174581768541387E-2</v>
      </c>
    </row>
    <row r="24" spans="1:8" x14ac:dyDescent="0.35">
      <c r="A24" s="4" t="s">
        <v>68</v>
      </c>
      <c r="B24" s="12">
        <v>2872.0316970000003</v>
      </c>
      <c r="C24" s="12">
        <v>2916.1512089999997</v>
      </c>
      <c r="D24" s="12">
        <v>2497.7548229999998</v>
      </c>
      <c r="E24" s="12">
        <v>1915.5509999999999</v>
      </c>
      <c r="F24" s="25">
        <f t="shared" si="5"/>
        <v>-1.5129363615931519E-2</v>
      </c>
      <c r="G24" s="25">
        <f t="shared" si="6"/>
        <v>0.14984532130758321</v>
      </c>
      <c r="H24" s="25">
        <f t="shared" si="7"/>
        <v>0.49932405715118022</v>
      </c>
    </row>
    <row r="25" spans="1:8" x14ac:dyDescent="0.35">
      <c r="A25" s="4" t="s">
        <v>69</v>
      </c>
      <c r="B25" s="12">
        <v>2646.1992158400003</v>
      </c>
      <c r="C25" s="12">
        <v>3632.5870897399996</v>
      </c>
      <c r="D25" s="12">
        <v>1866.8885949999999</v>
      </c>
      <c r="E25" s="12">
        <v>1477.0550000000001</v>
      </c>
      <c r="F25" s="25">
        <f t="shared" si="5"/>
        <v>-0.27153867189749864</v>
      </c>
      <c r="G25" s="25">
        <f t="shared" si="6"/>
        <v>0.41743820329032566</v>
      </c>
      <c r="H25" s="25">
        <f t="shared" si="7"/>
        <v>0.79153736038265343</v>
      </c>
    </row>
    <row r="26" spans="1:8" x14ac:dyDescent="0.35">
      <c r="A26" t="s">
        <v>57</v>
      </c>
      <c r="B26" s="12">
        <v>996.40331400000002</v>
      </c>
      <c r="C26" s="12">
        <v>1007.774421</v>
      </c>
      <c r="D26" s="12">
        <v>999.68983600000001</v>
      </c>
      <c r="E26" s="12">
        <v>1053.319</v>
      </c>
      <c r="F26" s="25">
        <f t="shared" si="5"/>
        <v>-1.1283385213048525E-2</v>
      </c>
      <c r="G26" s="25">
        <f t="shared" si="6"/>
        <v>-3.2875416770767195E-3</v>
      </c>
      <c r="H26" s="25">
        <f t="shared" si="7"/>
        <v>-5.4034614395069243E-2</v>
      </c>
    </row>
    <row r="27" spans="1:8" x14ac:dyDescent="0.35">
      <c r="A27" t="s">
        <v>70</v>
      </c>
      <c r="B27" s="12">
        <v>1203.9363207199999</v>
      </c>
      <c r="C27" s="12">
        <v>1294.00637772</v>
      </c>
      <c r="D27" s="12">
        <v>1428.127</v>
      </c>
      <c r="E27" s="12">
        <v>1117.73</v>
      </c>
      <c r="F27" s="25">
        <f t="shared" si="5"/>
        <v>-6.9605574246628402E-2</v>
      </c>
      <c r="G27" s="25">
        <f t="shared" si="6"/>
        <v>-0.15698231269347898</v>
      </c>
      <c r="H27" s="25">
        <f t="shared" si="7"/>
        <v>7.712624759109972E-2</v>
      </c>
    </row>
    <row r="28" spans="1:8" x14ac:dyDescent="0.35">
      <c r="A28" t="s">
        <v>71</v>
      </c>
      <c r="B28" s="12">
        <v>436.10883036999996</v>
      </c>
      <c r="C28" s="12">
        <v>398.04462302999997</v>
      </c>
      <c r="D28" s="12">
        <v>389.10409800000002</v>
      </c>
      <c r="E28" s="12">
        <v>411.33300000000003</v>
      </c>
      <c r="F28" s="25">
        <f t="shared" si="5"/>
        <v>9.5627990274676208E-2</v>
      </c>
      <c r="G28" s="25">
        <f t="shared" si="6"/>
        <v>0.12080246034828433</v>
      </c>
      <c r="H28" s="25">
        <f t="shared" si="7"/>
        <v>6.0233023778787344E-2</v>
      </c>
    </row>
    <row r="29" spans="1:8" x14ac:dyDescent="0.35">
      <c r="A29" t="s">
        <v>72</v>
      </c>
      <c r="B29" s="12">
        <v>1105.2587422300001</v>
      </c>
      <c r="C29" s="12">
        <v>1073.39396253</v>
      </c>
      <c r="D29" s="12">
        <v>900.32824916000004</v>
      </c>
      <c r="E29" s="12">
        <v>902.43000000000006</v>
      </c>
      <c r="F29" s="25">
        <f t="shared" si="5"/>
        <v>2.9686006081955693E-2</v>
      </c>
      <c r="G29" s="25">
        <f t="shared" si="6"/>
        <v>0.22761753089631334</v>
      </c>
      <c r="H29" s="25">
        <f t="shared" si="7"/>
        <v>0.22475842140664648</v>
      </c>
    </row>
    <row r="30" spans="1:8" x14ac:dyDescent="0.35">
      <c r="A30" s="33" t="s">
        <v>73</v>
      </c>
      <c r="B30" s="34">
        <f>+SUM(B19:B20)+SUM(B26:B29)</f>
        <v>106459.74484264999</v>
      </c>
      <c r="C30" s="34">
        <f>+SUM(C19:C20)+SUM(C26:C29)</f>
        <v>108481.87377502001</v>
      </c>
      <c r="D30" s="34">
        <f t="shared" ref="D30:E30" si="8">+SUM(D19:D20)+SUM(D26:D29)</f>
        <v>109223.95259916001</v>
      </c>
      <c r="E30" s="34">
        <f t="shared" si="8"/>
        <v>103130.518</v>
      </c>
      <c r="F30" s="35">
        <f t="shared" si="5"/>
        <v>-1.864024709384815E-2</v>
      </c>
      <c r="G30" s="35">
        <f t="shared" si="6"/>
        <v>-2.5307706695566676E-2</v>
      </c>
      <c r="H30" s="35">
        <f t="shared" si="7"/>
        <v>3.2281684483054705E-2</v>
      </c>
    </row>
    <row r="31" spans="1:8" x14ac:dyDescent="0.35">
      <c r="A31" t="s">
        <v>217</v>
      </c>
      <c r="B31" s="12">
        <v>6626.3529867568905</v>
      </c>
      <c r="C31" s="12">
        <v>6535.7809894393595</v>
      </c>
      <c r="D31" s="12">
        <v>6415.7186477854002</v>
      </c>
      <c r="E31" s="12">
        <v>6161.4530000000004</v>
      </c>
      <c r="F31" s="113">
        <f t="shared" si="5"/>
        <v>1.3857869084640222E-2</v>
      </c>
      <c r="G31" s="113">
        <f t="shared" si="6"/>
        <v>3.2830981303115236E-2</v>
      </c>
      <c r="H31" s="113">
        <f t="shared" si="7"/>
        <v>7.545297947690098E-2</v>
      </c>
    </row>
    <row r="32" spans="1:8" x14ac:dyDescent="0.35">
      <c r="A32" t="s">
        <v>74</v>
      </c>
      <c r="B32" s="12">
        <v>-130.73314590369401</v>
      </c>
      <c r="C32" s="12">
        <v>-186.48240850096698</v>
      </c>
      <c r="D32" s="12">
        <v>-90.104500524000002</v>
      </c>
      <c r="E32" s="12">
        <v>-148.74199999999999</v>
      </c>
      <c r="F32" s="25">
        <f t="shared" si="5"/>
        <v>-0.29895185849116646</v>
      </c>
      <c r="G32" s="25">
        <f t="shared" si="6"/>
        <v>0.45090583870305417</v>
      </c>
      <c r="H32" s="25">
        <f t="shared" si="7"/>
        <v>-0.121074438264283</v>
      </c>
    </row>
    <row r="33" spans="1:8" x14ac:dyDescent="0.35">
      <c r="A33" t="s">
        <v>218</v>
      </c>
      <c r="B33" s="12">
        <v>0.44299943999999997</v>
      </c>
      <c r="C33" s="12">
        <v>0.44574344000000005</v>
      </c>
      <c r="D33" s="12">
        <v>0.42636032000000001</v>
      </c>
      <c r="E33" s="12">
        <v>0.438</v>
      </c>
      <c r="F33" s="25">
        <f t="shared" ref="F33" si="9">(+B33-C33)/C33</f>
        <v>-6.1560075903754844E-3</v>
      </c>
      <c r="G33" s="25">
        <f t="shared" ref="G33" si="10">(+B33-D33)/D33</f>
        <v>3.9025958137942927E-2</v>
      </c>
      <c r="H33" s="25">
        <f t="shared" ref="H33" si="11">(+B33-E33)/E33</f>
        <v>1.1414246575342388E-2</v>
      </c>
    </row>
    <row r="34" spans="1:8" ht="15" thickBot="1" x14ac:dyDescent="0.4">
      <c r="A34" s="36" t="s">
        <v>75</v>
      </c>
      <c r="B34" s="37">
        <f>+SUM(B31:B33)</f>
        <v>6496.0628402931961</v>
      </c>
      <c r="C34" s="37">
        <f>+SUM(C31:C33)</f>
        <v>6349.7443243783928</v>
      </c>
      <c r="D34" s="37">
        <f t="shared" ref="D34:E34" si="12">+SUM(D31:D33)</f>
        <v>6326.0405075813997</v>
      </c>
      <c r="E34" s="37">
        <f t="shared" si="12"/>
        <v>6013.1490000000003</v>
      </c>
      <c r="F34" s="38">
        <f t="shared" ref="F34:F35" si="13">(+B34-C34)/C34</f>
        <v>2.3043213779970137E-2</v>
      </c>
      <c r="G34" s="38">
        <f t="shared" ref="G34:G35" si="14">(+B34-D34)/D34</f>
        <v>2.6876579830311612E-2</v>
      </c>
      <c r="H34" s="38">
        <f t="shared" ref="H34" si="15">(+B34-E34)/E34</f>
        <v>8.0309641469585358E-2</v>
      </c>
    </row>
    <row r="35" spans="1:8" x14ac:dyDescent="0.35">
      <c r="A35" s="26" t="s">
        <v>76</v>
      </c>
      <c r="B35" s="30">
        <f>+B30+B34</f>
        <v>112955.80768294318</v>
      </c>
      <c r="C35" s="30">
        <f>+C30+C34</f>
        <v>114831.6180993984</v>
      </c>
      <c r="D35" s="30">
        <f t="shared" ref="D35:E35" si="16">+D30+D34</f>
        <v>115549.99310674141</v>
      </c>
      <c r="E35" s="30">
        <f t="shared" si="16"/>
        <v>109143.667</v>
      </c>
      <c r="F35" s="32">
        <f t="shared" si="13"/>
        <v>-1.6335312934731238E-2</v>
      </c>
      <c r="G35" s="32">
        <f t="shared" si="14"/>
        <v>-2.245076225492984E-2</v>
      </c>
      <c r="H35" s="32">
        <f>(+B35-E35)/E35</f>
        <v>3.4927731381273634E-2</v>
      </c>
    </row>
    <row r="36" spans="1:8" x14ac:dyDescent="0.35">
      <c r="A36" s="1"/>
      <c r="B36" s="121"/>
      <c r="C36" s="121"/>
      <c r="D36" s="122"/>
      <c r="E36" s="121"/>
      <c r="F36" s="39"/>
      <c r="G36" s="39"/>
      <c r="H36" s="39"/>
    </row>
  </sheetData>
  <pageMargins left="0.70866141732283472" right="0.70866141732283472" top="0.74803149606299213" bottom="0.74803149606299213" header="0.31496062992125984" footer="0.31496062992125984"/>
  <pageSetup paperSize="9" scale="56" orientation="portrait" horizontalDpi="4294967294" verticalDpi="4294967294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28"/>
  <sheetViews>
    <sheetView showGridLines="0" zoomScale="85" zoomScaleNormal="8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2" sqref="B2"/>
    </sheetView>
  </sheetViews>
  <sheetFormatPr baseColWidth="10" defaultColWidth="9.7265625" defaultRowHeight="14.5" x14ac:dyDescent="0.35"/>
  <cols>
    <col min="1" max="1" width="44.7265625" customWidth="1"/>
    <col min="2" max="2" width="11.1796875" customWidth="1"/>
    <col min="3" max="3" width="11.26953125" customWidth="1"/>
    <col min="4" max="5" width="11.26953125" bestFit="1" customWidth="1"/>
    <col min="6" max="8" width="10.81640625" customWidth="1"/>
    <col min="11" max="16" width="11.26953125" bestFit="1" customWidth="1"/>
  </cols>
  <sheetData>
    <row r="1" spans="1:8" ht="15.5" x14ac:dyDescent="0.35">
      <c r="A1" s="19" t="s">
        <v>77</v>
      </c>
      <c r="B1" s="19"/>
      <c r="C1" s="19"/>
      <c r="D1" s="19"/>
    </row>
    <row r="2" spans="1:8" x14ac:dyDescent="0.35">
      <c r="A2" s="20" t="s">
        <v>78</v>
      </c>
      <c r="B2" s="124">
        <f>MAX(Relevantes!$2:$2)</f>
        <v>44834</v>
      </c>
      <c r="C2" s="124">
        <f>EOMONTH(B2,-3)</f>
        <v>44742</v>
      </c>
      <c r="D2" s="124">
        <f>EOMONTH(B2,-MONTH(B2))</f>
        <v>44561</v>
      </c>
      <c r="E2" s="124">
        <f>EOMONTH(B2,-12)</f>
        <v>44469</v>
      </c>
      <c r="F2" s="123" t="s">
        <v>226</v>
      </c>
      <c r="G2" s="123" t="s">
        <v>247</v>
      </c>
      <c r="H2" s="123" t="s">
        <v>227</v>
      </c>
    </row>
    <row r="3" spans="1:8" x14ac:dyDescent="0.35">
      <c r="A3" s="26" t="s">
        <v>79</v>
      </c>
      <c r="B3" s="30">
        <v>80986.818150049992</v>
      </c>
      <c r="C3" s="30">
        <v>82931.203722100006</v>
      </c>
      <c r="D3" s="30">
        <v>86191.722234980014</v>
      </c>
      <c r="E3" s="30">
        <v>83454.310442319984</v>
      </c>
      <c r="F3" s="32">
        <f>(+B3-C3)/C3</f>
        <v>-2.3445765704373379E-2</v>
      </c>
      <c r="G3" s="32">
        <f t="shared" ref="G3:G27" si="0">(+B3-D3)/D3</f>
        <v>-6.0387516921174431E-2</v>
      </c>
      <c r="H3" s="32">
        <f>(+B3-E3)/E3</f>
        <v>-2.9566984367756722E-2</v>
      </c>
    </row>
    <row r="4" spans="1:8" x14ac:dyDescent="0.35">
      <c r="A4" s="40" t="s">
        <v>228</v>
      </c>
      <c r="B4" s="41">
        <v>73016.311540049996</v>
      </c>
      <c r="C4" s="41">
        <v>74750.84337218001</v>
      </c>
      <c r="D4" s="41">
        <v>78502.046732340008</v>
      </c>
      <c r="E4" s="41">
        <v>76349.579139319991</v>
      </c>
      <c r="F4" s="42">
        <f t="shared" ref="F4:F27" si="1">(+B4-C4)/C4</f>
        <v>-2.3204177423041018E-2</v>
      </c>
      <c r="G4" s="42">
        <f t="shared" si="0"/>
        <v>-6.9880154984928403E-2</v>
      </c>
      <c r="H4" s="42">
        <f t="shared" ref="H4:H27" si="2">(+B4-E4)/E4</f>
        <v>-4.3657969524462832E-2</v>
      </c>
    </row>
    <row r="5" spans="1:8" x14ac:dyDescent="0.35">
      <c r="A5" s="6" t="s">
        <v>80</v>
      </c>
      <c r="B5" s="13">
        <v>6693.2751151100001</v>
      </c>
      <c r="C5" s="13">
        <v>7121.5923244400001</v>
      </c>
      <c r="D5" s="13">
        <v>9258.9959218400018</v>
      </c>
      <c r="E5" s="13">
        <v>9198.2161041899999</v>
      </c>
      <c r="F5" s="39">
        <f t="shared" si="1"/>
        <v>-6.0143460874626839E-2</v>
      </c>
      <c r="G5" s="39">
        <f t="shared" si="0"/>
        <v>-0.27710572813602952</v>
      </c>
      <c r="H5" s="39">
        <f t="shared" si="2"/>
        <v>-0.27232899952621697</v>
      </c>
    </row>
    <row r="6" spans="1:8" x14ac:dyDescent="0.35">
      <c r="A6" s="6" t="s">
        <v>81</v>
      </c>
      <c r="B6" s="13">
        <v>66323.036424940001</v>
      </c>
      <c r="C6" s="13">
        <v>67629.251047740006</v>
      </c>
      <c r="D6" s="13">
        <v>69243.050810500004</v>
      </c>
      <c r="E6" s="13">
        <v>67151.363035129994</v>
      </c>
      <c r="F6" s="39">
        <f t="shared" si="1"/>
        <v>-1.9314344053254984E-2</v>
      </c>
      <c r="G6" s="39">
        <f t="shared" si="0"/>
        <v>-4.2170504496564051E-2</v>
      </c>
      <c r="H6" s="39">
        <f t="shared" si="2"/>
        <v>-1.2335216632261916E-2</v>
      </c>
    </row>
    <row r="7" spans="1:8" x14ac:dyDescent="0.35">
      <c r="A7" s="4" t="s">
        <v>82</v>
      </c>
      <c r="B7" s="12">
        <v>57651.787628730002</v>
      </c>
      <c r="C7" s="12">
        <v>58105.121236910003</v>
      </c>
      <c r="D7" s="12">
        <v>58423.914399300003</v>
      </c>
      <c r="E7" s="12">
        <v>56969.207453799994</v>
      </c>
      <c r="F7" s="25">
        <f t="shared" ref="F7" si="3">(+B7-C7)/C7</f>
        <v>-7.8019561534281856E-3</v>
      </c>
      <c r="G7" s="25">
        <f t="shared" ref="G7" si="4">(+B7-D7)/D7</f>
        <v>-1.3215936975617166E-2</v>
      </c>
      <c r="H7" s="25">
        <f t="shared" ref="H7" si="5">(+B7-E7)/E7</f>
        <v>1.1981563469766652E-2</v>
      </c>
    </row>
    <row r="8" spans="1:8" x14ac:dyDescent="0.35">
      <c r="A8" s="4" t="s">
        <v>83</v>
      </c>
      <c r="B8" s="12">
        <v>5256.9395578100011</v>
      </c>
      <c r="C8" s="12">
        <v>5543.2889200199988</v>
      </c>
      <c r="D8" s="12">
        <v>6104.4563521999999</v>
      </c>
      <c r="E8" s="12">
        <v>6419.9629813300007</v>
      </c>
      <c r="F8" s="25">
        <f t="shared" si="1"/>
        <v>-5.165694343944905E-2</v>
      </c>
      <c r="G8" s="25">
        <f t="shared" si="0"/>
        <v>-0.13883575301256107</v>
      </c>
      <c r="H8" s="25">
        <f t="shared" si="2"/>
        <v>-0.18115734107847772</v>
      </c>
    </row>
    <row r="9" spans="1:8" x14ac:dyDescent="0.35">
      <c r="A9" s="4" t="s">
        <v>84</v>
      </c>
      <c r="B9" s="12">
        <v>3414.3092384000001</v>
      </c>
      <c r="C9" s="12">
        <v>3980.8408908099996</v>
      </c>
      <c r="D9" s="12">
        <v>4714.6800590000003</v>
      </c>
      <c r="E9" s="12">
        <v>3762.1926000000003</v>
      </c>
      <c r="F9" s="25">
        <f t="shared" si="1"/>
        <v>-0.1423145681903214</v>
      </c>
      <c r="G9" s="25">
        <f t="shared" si="0"/>
        <v>-0.27581316321086974</v>
      </c>
      <c r="H9" s="25">
        <f t="shared" si="2"/>
        <v>-9.2468248861049845E-2</v>
      </c>
    </row>
    <row r="10" spans="1:8" x14ac:dyDescent="0.35">
      <c r="A10" s="40" t="s">
        <v>85</v>
      </c>
      <c r="B10" s="41">
        <v>7970.5066099999995</v>
      </c>
      <c r="C10" s="41">
        <v>8180.3603499199999</v>
      </c>
      <c r="D10" s="41">
        <v>7689.6755026400006</v>
      </c>
      <c r="E10" s="41">
        <f>SUM(E11:E13)</f>
        <v>7104.7313030000005</v>
      </c>
      <c r="F10" s="42">
        <f t="shared" si="1"/>
        <v>-2.5653361336588635E-2</v>
      </c>
      <c r="G10" s="42">
        <f t="shared" si="0"/>
        <v>3.6520540725494155E-2</v>
      </c>
      <c r="H10" s="42">
        <f t="shared" si="2"/>
        <v>0.12185897961185696</v>
      </c>
    </row>
    <row r="11" spans="1:8" x14ac:dyDescent="0.35">
      <c r="A11" s="5" t="s">
        <v>86</v>
      </c>
      <c r="B11" s="12">
        <v>6211.9994099999994</v>
      </c>
      <c r="C11" s="12">
        <v>6421.8531499199999</v>
      </c>
      <c r="D11" s="12">
        <v>6421.853149640001</v>
      </c>
      <c r="E11" s="12">
        <v>6451.8531500000008</v>
      </c>
      <c r="F11" s="25">
        <f t="shared" si="1"/>
        <v>-3.2678065820084139E-2</v>
      </c>
      <c r="G11" s="25">
        <f t="shared" si="0"/>
        <v>-3.2678065777907987E-2</v>
      </c>
      <c r="H11" s="25">
        <f t="shared" si="2"/>
        <v>-3.717594533285392E-2</v>
      </c>
    </row>
    <row r="12" spans="1:8" x14ac:dyDescent="0.35">
      <c r="A12" s="5" t="s">
        <v>87</v>
      </c>
      <c r="B12" s="12">
        <v>1159.3652</v>
      </c>
      <c r="C12" s="12">
        <v>1159.3652</v>
      </c>
      <c r="D12" s="12">
        <v>659.94420000000014</v>
      </c>
      <c r="E12" s="12">
        <v>45</v>
      </c>
      <c r="F12" s="77">
        <f t="shared" si="1"/>
        <v>0</v>
      </c>
      <c r="G12" s="77">
        <f t="shared" si="0"/>
        <v>0.75676246567512784</v>
      </c>
      <c r="H12" s="77">
        <f t="shared" si="2"/>
        <v>24.763671111111112</v>
      </c>
    </row>
    <row r="13" spans="1:8" x14ac:dyDescent="0.35">
      <c r="A13" s="5" t="s">
        <v>88</v>
      </c>
      <c r="B13" s="12">
        <v>599.14200000000005</v>
      </c>
      <c r="C13" s="12">
        <v>599.14200000000005</v>
      </c>
      <c r="D13" s="12">
        <v>607.878153</v>
      </c>
      <c r="E13" s="12">
        <v>607.878153</v>
      </c>
      <c r="F13" s="77">
        <f t="shared" si="1"/>
        <v>0</v>
      </c>
      <c r="G13" s="77">
        <f t="shared" si="0"/>
        <v>-1.4371552846380951E-2</v>
      </c>
      <c r="H13" s="77">
        <f t="shared" si="2"/>
        <v>-1.4371552846380951E-2</v>
      </c>
    </row>
    <row r="14" spans="1:8" x14ac:dyDescent="0.35">
      <c r="A14" s="26" t="s">
        <v>89</v>
      </c>
      <c r="B14" s="30">
        <v>20119.096998090001</v>
      </c>
      <c r="C14" s="30">
        <v>20724.811286050004</v>
      </c>
      <c r="D14" s="30">
        <v>22038.17012879</v>
      </c>
      <c r="E14" s="30">
        <v>21442.977982049997</v>
      </c>
      <c r="F14" s="32">
        <f t="shared" si="1"/>
        <v>-2.9226528512117898E-2</v>
      </c>
      <c r="G14" s="32">
        <f t="shared" si="0"/>
        <v>-8.7079513384506438E-2</v>
      </c>
      <c r="H14" s="32">
        <f t="shared" si="2"/>
        <v>-6.1739604688687472E-2</v>
      </c>
    </row>
    <row r="15" spans="1:8" x14ac:dyDescent="0.35">
      <c r="A15" s="18" t="s">
        <v>90</v>
      </c>
      <c r="B15" s="78">
        <v>11205.075190850001</v>
      </c>
      <c r="C15" s="78">
        <v>11759.144654000002</v>
      </c>
      <c r="D15" s="78">
        <v>12410.011466610002</v>
      </c>
      <c r="E15" s="78">
        <v>11811.07592813</v>
      </c>
      <c r="F15" s="25">
        <f t="shared" si="1"/>
        <v>-4.7118177337968893E-2</v>
      </c>
      <c r="G15" s="25">
        <f t="shared" si="0"/>
        <v>-9.7093888994540078E-2</v>
      </c>
      <c r="H15" s="25">
        <f t="shared" si="2"/>
        <v>-5.1307835202101255E-2</v>
      </c>
    </row>
    <row r="16" spans="1:8" x14ac:dyDescent="0.35">
      <c r="A16" s="18" t="s">
        <v>91</v>
      </c>
      <c r="B16" s="12">
        <v>3652.1566835699996</v>
      </c>
      <c r="C16" s="12">
        <v>3761.4849587800004</v>
      </c>
      <c r="D16" s="12">
        <v>4032.8976564800014</v>
      </c>
      <c r="E16" s="12">
        <v>4005.3474235999993</v>
      </c>
      <c r="F16" s="25">
        <f t="shared" si="1"/>
        <v>-2.9065190053414524E-2</v>
      </c>
      <c r="G16" s="25">
        <f t="shared" si="0"/>
        <v>-9.4408786272627762E-2</v>
      </c>
      <c r="H16" s="25">
        <f t="shared" si="2"/>
        <v>-8.8179801319844681E-2</v>
      </c>
    </row>
    <row r="17" spans="1:9" x14ac:dyDescent="0.35">
      <c r="A17" s="18" t="s">
        <v>92</v>
      </c>
      <c r="B17" s="12">
        <v>4270.4101011900002</v>
      </c>
      <c r="C17" s="12">
        <v>4173.1872325499999</v>
      </c>
      <c r="D17" s="12">
        <v>4545.98226204</v>
      </c>
      <c r="E17" s="12">
        <v>4658.2126296500001</v>
      </c>
      <c r="F17" s="25">
        <f t="shared" si="1"/>
        <v>2.3297030116856972E-2</v>
      </c>
      <c r="G17" s="25">
        <f t="shared" si="0"/>
        <v>-6.0618837682472039E-2</v>
      </c>
      <c r="H17" s="25">
        <f t="shared" si="2"/>
        <v>-8.3251358255223701E-2</v>
      </c>
    </row>
    <row r="18" spans="1:9" x14ac:dyDescent="0.35">
      <c r="A18" s="18" t="s">
        <v>93</v>
      </c>
      <c r="B18" s="12">
        <v>991.45502248000003</v>
      </c>
      <c r="C18" s="12">
        <v>1030.9944407200019</v>
      </c>
      <c r="D18" s="12">
        <v>1049.2787436599961</v>
      </c>
      <c r="E18" s="12">
        <v>968.34200067000165</v>
      </c>
      <c r="F18" s="25">
        <f t="shared" si="1"/>
        <v>-3.8350757946269076E-2</v>
      </c>
      <c r="G18" s="25">
        <f t="shared" si="0"/>
        <v>-5.510806497261226E-2</v>
      </c>
      <c r="H18" s="25">
        <f t="shared" si="2"/>
        <v>2.3868655696031291E-2</v>
      </c>
    </row>
    <row r="19" spans="1:9" x14ac:dyDescent="0.35">
      <c r="A19" s="26" t="s">
        <v>94</v>
      </c>
      <c r="B19" s="30">
        <v>101105.91514813999</v>
      </c>
      <c r="C19" s="30">
        <v>103656.01500815002</v>
      </c>
      <c r="D19" s="30">
        <v>108229.89236377002</v>
      </c>
      <c r="E19" s="30">
        <v>104897.28842436998</v>
      </c>
      <c r="F19" s="32">
        <f t="shared" si="1"/>
        <v>-2.4601561808154839E-2</v>
      </c>
      <c r="G19" s="32">
        <f t="shared" si="0"/>
        <v>-6.582263975358793E-2</v>
      </c>
      <c r="H19" s="32">
        <f t="shared" si="2"/>
        <v>-3.6143672855409779E-2</v>
      </c>
    </row>
    <row r="20" spans="1:9" x14ac:dyDescent="0.35">
      <c r="A20" s="43" t="s">
        <v>95</v>
      </c>
      <c r="B20" s="41">
        <v>89779.860943200008</v>
      </c>
      <c r="C20" s="41">
        <v>91554.723316549993</v>
      </c>
      <c r="D20" s="41">
        <v>96007.488047129998</v>
      </c>
      <c r="E20" s="41">
        <v>94726.258632369994</v>
      </c>
      <c r="F20" s="42">
        <f t="shared" si="1"/>
        <v>-1.9385808935421134E-2</v>
      </c>
      <c r="G20" s="42">
        <f t="shared" si="0"/>
        <v>-6.4866056081717846E-2</v>
      </c>
      <c r="H20" s="42">
        <f t="shared" si="2"/>
        <v>-5.2217809091002099E-2</v>
      </c>
    </row>
    <row r="21" spans="1:9" x14ac:dyDescent="0.35">
      <c r="A21" s="4" t="s">
        <v>96</v>
      </c>
      <c r="B21" s="12">
        <v>69660.763945110011</v>
      </c>
      <c r="C21" s="12">
        <v>70829.912030499996</v>
      </c>
      <c r="D21" s="12">
        <v>73969.317918340006</v>
      </c>
      <c r="E21" s="12">
        <v>73283.280650319997</v>
      </c>
      <c r="F21" s="118">
        <f t="shared" si="1"/>
        <v>-1.6506417301302579E-2</v>
      </c>
      <c r="G21" s="118">
        <f t="shared" si="0"/>
        <v>-5.8247853224583118E-2</v>
      </c>
      <c r="H21" s="118">
        <f t="shared" si="2"/>
        <v>-4.9431694010742516E-2</v>
      </c>
    </row>
    <row r="22" spans="1:9" x14ac:dyDescent="0.35">
      <c r="A22" s="88" t="s">
        <v>80</v>
      </c>
      <c r="B22" s="12">
        <v>6693.2751151100001</v>
      </c>
      <c r="C22" s="12">
        <v>7121.5923244400001</v>
      </c>
      <c r="D22" s="12">
        <v>9258.9959218400018</v>
      </c>
      <c r="E22" s="12">
        <v>9198.2161041899999</v>
      </c>
      <c r="F22" s="118">
        <f t="shared" si="1"/>
        <v>-6.0143460874626839E-2</v>
      </c>
      <c r="G22" s="118">
        <f t="shared" si="0"/>
        <v>-0.27710572813602952</v>
      </c>
      <c r="H22" s="118">
        <f t="shared" si="2"/>
        <v>-0.27232899952621697</v>
      </c>
    </row>
    <row r="23" spans="1:9" x14ac:dyDescent="0.35">
      <c r="A23" s="88" t="s">
        <v>97</v>
      </c>
      <c r="B23" s="12">
        <v>57651.787628730002</v>
      </c>
      <c r="C23" s="12">
        <v>58105.121236910003</v>
      </c>
      <c r="D23" s="12">
        <v>58423.914399300003</v>
      </c>
      <c r="E23" s="12">
        <v>56969.207453799994</v>
      </c>
      <c r="F23" s="118">
        <f t="shared" si="1"/>
        <v>-7.8019561534281856E-3</v>
      </c>
      <c r="G23" s="118">
        <f t="shared" si="0"/>
        <v>-1.3215936975617166E-2</v>
      </c>
      <c r="H23" s="118">
        <f t="shared" si="2"/>
        <v>1.1981563469766652E-2</v>
      </c>
    </row>
    <row r="24" spans="1:9" x14ac:dyDescent="0.35">
      <c r="A24" s="88" t="s">
        <v>98</v>
      </c>
      <c r="B24" s="12">
        <v>5256.9395578100011</v>
      </c>
      <c r="C24" s="12">
        <v>5543.2889200199988</v>
      </c>
      <c r="D24" s="12">
        <v>6104.4563521999999</v>
      </c>
      <c r="E24" s="12">
        <v>6419.9629813300007</v>
      </c>
      <c r="F24" s="118">
        <f t="shared" si="1"/>
        <v>-5.165694343944905E-2</v>
      </c>
      <c r="G24" s="118">
        <f t="shared" si="0"/>
        <v>-0.13883575301256107</v>
      </c>
      <c r="H24" s="118">
        <f t="shared" si="2"/>
        <v>-0.18115734107847772</v>
      </c>
    </row>
    <row r="25" spans="1:9" x14ac:dyDescent="0.35">
      <c r="A25" s="88" t="s">
        <v>99</v>
      </c>
      <c r="B25" s="12">
        <v>58.761643460000002</v>
      </c>
      <c r="C25" s="12">
        <v>59.909549130000002</v>
      </c>
      <c r="D25" s="12">
        <v>181.951245</v>
      </c>
      <c r="E25" s="12">
        <v>695.89411100000007</v>
      </c>
      <c r="F25" s="118">
        <f t="shared" si="1"/>
        <v>-1.9160646118519704E-2</v>
      </c>
      <c r="G25" s="118">
        <f t="shared" si="0"/>
        <v>-0.67704731308653587</v>
      </c>
      <c r="H25" s="118">
        <f t="shared" si="2"/>
        <v>-0.91555950462699065</v>
      </c>
      <c r="I25" s="12"/>
    </row>
    <row r="26" spans="1:9" x14ac:dyDescent="0.35">
      <c r="A26" s="4" t="s">
        <v>100</v>
      </c>
      <c r="B26" s="12">
        <v>20119.096998090001</v>
      </c>
      <c r="C26" s="12">
        <v>20724.811286050004</v>
      </c>
      <c r="D26" s="12">
        <v>22038.17012879</v>
      </c>
      <c r="E26" s="12">
        <v>21442.977982049997</v>
      </c>
      <c r="F26" s="118">
        <f t="shared" si="1"/>
        <v>-2.9226528512117898E-2</v>
      </c>
      <c r="G26" s="118">
        <f t="shared" si="0"/>
        <v>-8.7079513384506438E-2</v>
      </c>
      <c r="H26" s="118">
        <f t="shared" si="2"/>
        <v>-6.1739604688687472E-2</v>
      </c>
    </row>
    <row r="27" spans="1:9" x14ac:dyDescent="0.35">
      <c r="A27" s="43" t="s">
        <v>101</v>
      </c>
      <c r="B27" s="41">
        <v>11326.054204939999</v>
      </c>
      <c r="C27" s="41">
        <v>12101.291691599999</v>
      </c>
      <c r="D27" s="41">
        <v>12222.404316640001</v>
      </c>
      <c r="E27" s="41">
        <v>10171.029792000003</v>
      </c>
      <c r="F27" s="42">
        <f t="shared" si="1"/>
        <v>-6.4062375027132371E-2</v>
      </c>
      <c r="G27" s="42">
        <f t="shared" si="0"/>
        <v>-7.3336643795990253E-2</v>
      </c>
      <c r="H27" s="42">
        <f t="shared" si="2"/>
        <v>0.11356022315935774</v>
      </c>
    </row>
    <row r="28" spans="1:9" x14ac:dyDescent="0.35">
      <c r="B28" s="119"/>
      <c r="C28" s="119"/>
    </row>
  </sheetData>
  <pageMargins left="0.70866141732283472" right="0.70866141732283472" top="0.74803149606299213" bottom="0.74803149606299213" header="0.31496062992125984" footer="0.31496062992125984"/>
  <pageSetup paperSize="9" scale="62" orientation="portrait" horizontalDpi="4294967294" verticalDpi="4294967294" r:id="rId1"/>
  <ignoredErrors>
    <ignoredError sqref="E10" formulaRange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21"/>
  <sheetViews>
    <sheetView showGridLines="0" zoomScale="85" zoomScaleNormal="8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2" sqref="B2"/>
    </sheetView>
  </sheetViews>
  <sheetFormatPr baseColWidth="10" defaultRowHeight="14.5" x14ac:dyDescent="0.35"/>
  <cols>
    <col min="1" max="1" width="43" customWidth="1"/>
    <col min="2" max="3" width="11.26953125" customWidth="1"/>
    <col min="4" max="4" width="11.26953125" bestFit="1" customWidth="1"/>
    <col min="5" max="5" width="11.26953125" customWidth="1"/>
  </cols>
  <sheetData>
    <row r="1" spans="1:8" ht="15.5" x14ac:dyDescent="0.35">
      <c r="A1" s="19" t="s">
        <v>102</v>
      </c>
      <c r="B1" s="19"/>
      <c r="C1" s="19"/>
      <c r="D1" s="19"/>
    </row>
    <row r="2" spans="1:8" ht="15" thickBot="1" x14ac:dyDescent="0.4">
      <c r="A2" s="20" t="s">
        <v>78</v>
      </c>
      <c r="B2" s="22">
        <f>MAX(Relevantes!$2:$2)</f>
        <v>44834</v>
      </c>
      <c r="C2" s="22">
        <f>EOMONTH(B2,-3)</f>
        <v>44742</v>
      </c>
      <c r="D2" s="22">
        <f>EOMONTH(B2,-MONTH(B2))</f>
        <v>44561</v>
      </c>
      <c r="E2" s="22">
        <f>EOMONTH(B2,-12)</f>
        <v>44469</v>
      </c>
      <c r="F2" s="23" t="s">
        <v>226</v>
      </c>
      <c r="G2" s="23" t="s">
        <v>247</v>
      </c>
      <c r="H2" s="23" t="s">
        <v>227</v>
      </c>
    </row>
    <row r="3" spans="1:8" ht="15" thickBot="1" x14ac:dyDescent="0.4">
      <c r="A3" s="44" t="s">
        <v>103</v>
      </c>
      <c r="B3" s="41">
        <v>5983.3839229999994</v>
      </c>
      <c r="C3" s="41">
        <v>5953.1980399999993</v>
      </c>
      <c r="D3" s="41">
        <v>5563.1457982499996</v>
      </c>
      <c r="E3" s="41">
        <v>5915.1885415400002</v>
      </c>
      <c r="F3" s="42">
        <f>(B3-C3)/C3</f>
        <v>5.0705323083792631E-3</v>
      </c>
      <c r="G3" s="42">
        <f>(B3-D3)/D3</f>
        <v>7.5539656875826297E-2</v>
      </c>
      <c r="H3" s="42">
        <f>(B3-E3)/E3</f>
        <v>1.1528860150625863E-2</v>
      </c>
    </row>
    <row r="4" spans="1:8" x14ac:dyDescent="0.35">
      <c r="A4" s="45" t="s">
        <v>104</v>
      </c>
      <c r="B4" s="46">
        <v>47359.179226069995</v>
      </c>
      <c r="C4" s="46">
        <v>48283.537837729978</v>
      </c>
      <c r="D4" s="46">
        <v>47958.875955969968</v>
      </c>
      <c r="E4" s="46">
        <v>47163.396734699956</v>
      </c>
      <c r="F4" s="47">
        <f t="shared" ref="F4:F12" si="0">(B4-C4)/C4</f>
        <v>-1.9144384464256602E-2</v>
      </c>
      <c r="G4" s="47">
        <f t="shared" ref="G4:G12" si="1">(B4-D4)/D4</f>
        <v>-1.2504395024823816E-2</v>
      </c>
      <c r="H4" s="47">
        <f t="shared" ref="H4:H12" si="2">(B4-E4)/E4</f>
        <v>4.1511533291662588E-3</v>
      </c>
    </row>
    <row r="5" spans="1:8" x14ac:dyDescent="0.35">
      <c r="A5" s="1" t="s">
        <v>105</v>
      </c>
      <c r="B5" s="13">
        <v>12965.740226069998</v>
      </c>
      <c r="C5" s="13">
        <v>13223.36903740999</v>
      </c>
      <c r="D5" s="13">
        <v>14093.365802710003</v>
      </c>
      <c r="E5" s="13">
        <v>13434.527323133354</v>
      </c>
      <c r="F5" s="39">
        <f t="shared" si="0"/>
        <v>-1.9482842126778623E-2</v>
      </c>
      <c r="G5" s="39">
        <f t="shared" si="1"/>
        <v>-8.0011091205989579E-2</v>
      </c>
      <c r="H5" s="39">
        <f t="shared" si="2"/>
        <v>-3.4894201023071045E-2</v>
      </c>
    </row>
    <row r="6" spans="1:8" x14ac:dyDescent="0.35">
      <c r="A6" t="s">
        <v>106</v>
      </c>
      <c r="B6" s="12">
        <v>730.68745092000017</v>
      </c>
      <c r="C6" s="12">
        <v>757.99337232000005</v>
      </c>
      <c r="D6" s="12">
        <v>840.82504345000007</v>
      </c>
      <c r="E6" s="12">
        <v>926.09022233335099</v>
      </c>
      <c r="F6" s="25">
        <f t="shared" si="0"/>
        <v>-3.6023957988477247E-2</v>
      </c>
      <c r="G6" s="25">
        <f t="shared" si="1"/>
        <v>-0.13098752634447342</v>
      </c>
      <c r="H6" s="25">
        <f t="shared" si="2"/>
        <v>-0.21099755369516748</v>
      </c>
    </row>
    <row r="7" spans="1:8" x14ac:dyDescent="0.35">
      <c r="A7" t="s">
        <v>107</v>
      </c>
      <c r="B7" s="12">
        <v>6457.1511610099997</v>
      </c>
      <c r="C7" s="12">
        <v>6519.897288329993</v>
      </c>
      <c r="D7" s="12">
        <v>6937.2698220100119</v>
      </c>
      <c r="E7" s="12">
        <v>7026.708271700003</v>
      </c>
      <c r="F7" s="25">
        <f t="shared" si="0"/>
        <v>-9.6237907661985752E-3</v>
      </c>
      <c r="G7" s="25">
        <f t="shared" si="1"/>
        <v>-6.9208589736084708E-2</v>
      </c>
      <c r="H7" s="25">
        <f t="shared" si="2"/>
        <v>-8.1056034869682714E-2</v>
      </c>
    </row>
    <row r="8" spans="1:8" x14ac:dyDescent="0.35">
      <c r="A8" t="s">
        <v>108</v>
      </c>
      <c r="B8" s="12">
        <v>5777.9016141399989</v>
      </c>
      <c r="C8" s="12">
        <v>5945.4783767599974</v>
      </c>
      <c r="D8" s="12">
        <v>6315.2709372499903</v>
      </c>
      <c r="E8" s="12">
        <v>5481.7288291000004</v>
      </c>
      <c r="F8" s="25">
        <f t="shared" si="0"/>
        <v>-2.8185581041726023E-2</v>
      </c>
      <c r="G8" s="25">
        <f t="shared" si="1"/>
        <v>-8.5090462222352573E-2</v>
      </c>
      <c r="H8" s="25">
        <f t="shared" si="2"/>
        <v>5.4029083574465057E-2</v>
      </c>
    </row>
    <row r="9" spans="1:8" x14ac:dyDescent="0.35">
      <c r="A9" s="1" t="s">
        <v>109</v>
      </c>
      <c r="B9" s="13">
        <v>34393.438999999998</v>
      </c>
      <c r="C9" s="13">
        <v>35060.168800319989</v>
      </c>
      <c r="D9" s="13">
        <v>33865.510153259966</v>
      </c>
      <c r="E9" s="13">
        <v>33728.8694115666</v>
      </c>
      <c r="F9" s="39">
        <f t="shared" si="0"/>
        <v>-1.9016731040778823E-2</v>
      </c>
      <c r="G9" s="39">
        <f t="shared" si="1"/>
        <v>1.5588982547461E-2</v>
      </c>
      <c r="H9" s="39">
        <f t="shared" si="2"/>
        <v>1.9703286828982716E-2</v>
      </c>
    </row>
    <row r="10" spans="1:8" x14ac:dyDescent="0.35">
      <c r="A10" s="16" t="s">
        <v>110</v>
      </c>
      <c r="B10" s="12">
        <v>31574.42734810977</v>
      </c>
      <c r="C10" s="12">
        <v>31527.8153794803</v>
      </c>
      <c r="D10" s="12">
        <v>31089.848893950002</v>
      </c>
      <c r="E10" s="12">
        <v>31000.794454970019</v>
      </c>
      <c r="F10" s="25">
        <f t="shared" si="0"/>
        <v>1.478439532470961E-3</v>
      </c>
      <c r="G10" s="25">
        <f t="shared" si="1"/>
        <v>1.5586388207054469E-2</v>
      </c>
      <c r="H10" s="25">
        <f t="shared" si="2"/>
        <v>1.8503812667542356E-2</v>
      </c>
    </row>
    <row r="11" spans="1:8" x14ac:dyDescent="0.35">
      <c r="A11" t="s">
        <v>111</v>
      </c>
      <c r="B11" s="12">
        <v>2819.0116518902282</v>
      </c>
      <c r="C11" s="12">
        <v>3532.3534208396873</v>
      </c>
      <c r="D11" s="12">
        <v>2775.6612593099599</v>
      </c>
      <c r="E11" s="12">
        <v>2728.0749565965853</v>
      </c>
      <c r="F11" s="25">
        <f t="shared" si="0"/>
        <v>-0.20194518610198642</v>
      </c>
      <c r="G11" s="25">
        <f t="shared" si="1"/>
        <v>1.5618041443229078E-2</v>
      </c>
      <c r="H11" s="25">
        <f t="shared" si="2"/>
        <v>3.3333649822837423E-2</v>
      </c>
    </row>
    <row r="12" spans="1:8" x14ac:dyDescent="0.35">
      <c r="A12" s="26" t="s">
        <v>219</v>
      </c>
      <c r="B12" s="30">
        <v>53342.563149069996</v>
      </c>
      <c r="C12" s="30">
        <v>54236.735877729981</v>
      </c>
      <c r="D12" s="30">
        <v>53522.021754219968</v>
      </c>
      <c r="E12" s="30">
        <v>53078.585276239959</v>
      </c>
      <c r="F12" s="32">
        <f t="shared" si="0"/>
        <v>-1.6486477554176329E-2</v>
      </c>
      <c r="G12" s="32">
        <f t="shared" si="1"/>
        <v>-3.3529862899064036E-3</v>
      </c>
      <c r="H12" s="32">
        <f t="shared" si="2"/>
        <v>4.973340405668345E-3</v>
      </c>
    </row>
    <row r="13" spans="1:8" x14ac:dyDescent="0.35">
      <c r="D13" s="12"/>
    </row>
    <row r="14" spans="1:8" x14ac:dyDescent="0.35">
      <c r="D14" s="12"/>
      <c r="E14" s="12"/>
    </row>
    <row r="15" spans="1:8" x14ac:dyDescent="0.35">
      <c r="D15" s="12"/>
      <c r="E15" s="12"/>
    </row>
    <row r="17" spans="4:5" x14ac:dyDescent="0.35">
      <c r="D17" s="12"/>
    </row>
    <row r="18" spans="4:5" x14ac:dyDescent="0.35">
      <c r="D18" s="12"/>
      <c r="E18" s="12"/>
    </row>
    <row r="21" spans="4:5" x14ac:dyDescent="0.35">
      <c r="D21" s="12"/>
    </row>
  </sheetData>
  <pageMargins left="0.70866141732283472" right="0.70866141732283472" top="0.74803149606299213" bottom="0.74803149606299213" header="0.31496062992125984" footer="0.31496062992125984"/>
  <pageSetup paperSize="9" scale="79" orientation="landscape" horizontalDpi="4294967294" verticalDpi="4294967294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9"/>
  <sheetViews>
    <sheetView showGridLines="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2" sqref="B2"/>
    </sheetView>
  </sheetViews>
  <sheetFormatPr baseColWidth="10" defaultRowHeight="14.5" x14ac:dyDescent="0.35"/>
  <cols>
    <col min="1" max="1" width="37.26953125" bestFit="1" customWidth="1"/>
    <col min="2" max="5" width="11.26953125" customWidth="1"/>
  </cols>
  <sheetData>
    <row r="1" spans="1:8" ht="15.5" x14ac:dyDescent="0.35">
      <c r="A1" s="19" t="s">
        <v>238</v>
      </c>
      <c r="B1" s="19"/>
      <c r="C1" s="19"/>
      <c r="D1" s="19"/>
      <c r="E1" s="19"/>
    </row>
    <row r="2" spans="1:8" ht="15" thickBot="1" x14ac:dyDescent="0.4">
      <c r="A2" s="20" t="s">
        <v>49</v>
      </c>
      <c r="B2" s="22">
        <f>MAX(Relevantes!$2:$2)</f>
        <v>44834</v>
      </c>
      <c r="C2" s="22">
        <f>EOMONTH(B2,-3)</f>
        <v>44742</v>
      </c>
      <c r="D2" s="22">
        <f>EOMONTH(B2,-MONTH(B2))</f>
        <v>44561</v>
      </c>
      <c r="E2" s="22">
        <f>EOMONTH(B2,-12)</f>
        <v>44469</v>
      </c>
      <c r="F2" s="23" t="s">
        <v>226</v>
      </c>
      <c r="G2" s="23" t="s">
        <v>247</v>
      </c>
      <c r="H2" s="23" t="s">
        <v>227</v>
      </c>
    </row>
    <row r="3" spans="1:8" x14ac:dyDescent="0.35">
      <c r="A3" s="1" t="s">
        <v>113</v>
      </c>
      <c r="B3" s="1"/>
      <c r="C3" s="1"/>
      <c r="D3" s="1"/>
      <c r="E3" s="1"/>
      <c r="F3" s="3"/>
      <c r="G3" s="3"/>
      <c r="H3" s="3"/>
    </row>
    <row r="4" spans="1:8" x14ac:dyDescent="0.35">
      <c r="A4" t="s">
        <v>240</v>
      </c>
      <c r="B4" s="12">
        <v>49937.175514439994</v>
      </c>
      <c r="C4" s="12">
        <v>50682.714048169983</v>
      </c>
      <c r="D4" s="12">
        <v>49952.183871429967</v>
      </c>
      <c r="E4" s="12">
        <v>49378.93652004996</v>
      </c>
      <c r="F4" s="48">
        <f>(B4-C4)/C4</f>
        <v>-1.4709917330421811E-2</v>
      </c>
      <c r="G4" s="48">
        <f>(B4-D4)/D4</f>
        <v>-3.0045447119192962E-4</v>
      </c>
      <c r="H4" s="48">
        <f>(B4-E4)/E4</f>
        <v>1.1305204885556121E-2</v>
      </c>
    </row>
    <row r="5" spans="1:8" x14ac:dyDescent="0.35">
      <c r="A5" t="s">
        <v>241</v>
      </c>
      <c r="B5" s="12">
        <v>3405.3876346299999</v>
      </c>
      <c r="C5" s="12">
        <v>3554.0218295599998</v>
      </c>
      <c r="D5" s="12">
        <v>3569.8378827900024</v>
      </c>
      <c r="E5" s="12">
        <v>3699.6487561899967</v>
      </c>
      <c r="F5" s="48">
        <f t="shared" ref="F5:F7" si="0">(B5-C5)/C5</f>
        <v>-4.1821407424613752E-2</v>
      </c>
      <c r="G5" s="48">
        <f t="shared" ref="G5:G7" si="1">(B5-D5)/D5</f>
        <v>-4.6066587211931485E-2</v>
      </c>
      <c r="H5" s="48">
        <f t="shared" ref="H5:H7" si="2">(B5-E5)/E5</f>
        <v>-7.953758341725263E-2</v>
      </c>
    </row>
    <row r="6" spans="1:8" x14ac:dyDescent="0.35">
      <c r="A6" t="s">
        <v>242</v>
      </c>
      <c r="B6" s="12">
        <v>1951.3101889000002</v>
      </c>
      <c r="C6" s="12">
        <v>1961.8354991300002</v>
      </c>
      <c r="D6" s="12">
        <v>1960.5670550900002</v>
      </c>
      <c r="E6" s="12">
        <v>1861.8331304399999</v>
      </c>
      <c r="F6" s="48">
        <f t="shared" si="0"/>
        <v>-5.3650319992005627E-3</v>
      </c>
      <c r="G6" s="48">
        <f t="shared" si="1"/>
        <v>-4.7215249108503686E-3</v>
      </c>
      <c r="H6" s="48">
        <f t="shared" si="2"/>
        <v>4.805858108178284E-2</v>
      </c>
    </row>
    <row r="7" spans="1:8" x14ac:dyDescent="0.35">
      <c r="A7" s="26" t="s">
        <v>239</v>
      </c>
      <c r="B7" s="30">
        <v>55293.873337969999</v>
      </c>
      <c r="C7" s="30">
        <v>56198.571376859982</v>
      </c>
      <c r="D7" s="30">
        <v>55482.588809309971</v>
      </c>
      <c r="E7" s="30">
        <v>54940.418406679957</v>
      </c>
      <c r="F7" s="51">
        <f t="shared" si="0"/>
        <v>-1.6098239096207639E-2</v>
      </c>
      <c r="G7" s="51">
        <f t="shared" si="1"/>
        <v>-3.4013458165871643E-3</v>
      </c>
      <c r="H7" s="51">
        <f t="shared" si="2"/>
        <v>6.4334226338375817E-3</v>
      </c>
    </row>
    <row r="8" spans="1:8" x14ac:dyDescent="0.35">
      <c r="F8" s="25"/>
      <c r="G8" s="25"/>
      <c r="H8" s="25"/>
    </row>
    <row r="9" spans="1:8" x14ac:dyDescent="0.35">
      <c r="A9" s="1" t="s">
        <v>115</v>
      </c>
      <c r="B9" s="1"/>
      <c r="C9" s="1"/>
      <c r="D9" s="1"/>
      <c r="E9" s="1"/>
      <c r="F9" s="77"/>
      <c r="G9" s="77"/>
      <c r="H9" s="77"/>
    </row>
    <row r="10" spans="1:8" x14ac:dyDescent="0.35">
      <c r="A10" t="s">
        <v>240</v>
      </c>
      <c r="B10" s="12">
        <v>149.53630352000079</v>
      </c>
      <c r="C10" s="12">
        <v>159.54904499</v>
      </c>
      <c r="D10" s="12">
        <v>129.13341283000003</v>
      </c>
      <c r="E10" s="12">
        <v>90.578401439999979</v>
      </c>
      <c r="F10" s="77">
        <f t="shared" ref="F10:F13" si="3">(B10-C10)/C10</f>
        <v>-6.2756511457820241E-2</v>
      </c>
      <c r="G10" s="77">
        <f t="shared" ref="G10:G13" si="4">(B10-D10)/D10</f>
        <v>0.15799853998175134</v>
      </c>
      <c r="H10" s="77">
        <f t="shared" ref="H10:H13" si="5">(B10-E10)/E10</f>
        <v>0.65090464330014808</v>
      </c>
    </row>
    <row r="11" spans="1:8" x14ac:dyDescent="0.35">
      <c r="A11" t="s">
        <v>241</v>
      </c>
      <c r="B11" s="12">
        <v>235.81199999999998</v>
      </c>
      <c r="C11" s="12">
        <v>299.75299999999999</v>
      </c>
      <c r="D11" s="12">
        <v>318.0293778831055</v>
      </c>
      <c r="E11" s="12">
        <v>276.81271406999997</v>
      </c>
      <c r="F11" s="77">
        <f t="shared" si="3"/>
        <v>-0.2133122937885526</v>
      </c>
      <c r="G11" s="77">
        <f t="shared" si="4"/>
        <v>-0.25852133042037784</v>
      </c>
      <c r="H11" s="77">
        <f t="shared" si="5"/>
        <v>-0.14811716364889146</v>
      </c>
    </row>
    <row r="12" spans="1:8" x14ac:dyDescent="0.35">
      <c r="A12" t="s">
        <v>242</v>
      </c>
      <c r="B12" s="12">
        <v>877.49672210000006</v>
      </c>
      <c r="C12" s="12">
        <v>814.28442367999992</v>
      </c>
      <c r="D12" s="12">
        <v>896.29034796725978</v>
      </c>
      <c r="E12" s="12">
        <v>974.49746761506015</v>
      </c>
      <c r="F12" s="77">
        <f t="shared" si="3"/>
        <v>7.7629261449364911E-2</v>
      </c>
      <c r="G12" s="77">
        <f t="shared" si="4"/>
        <v>-2.0968234132926561E-2</v>
      </c>
      <c r="H12" s="77">
        <f t="shared" si="5"/>
        <v>-9.9539248421502011E-2</v>
      </c>
    </row>
    <row r="13" spans="1:8" x14ac:dyDescent="0.35">
      <c r="A13" s="26" t="s">
        <v>116</v>
      </c>
      <c r="B13" s="30">
        <v>1262.8450256200008</v>
      </c>
      <c r="C13" s="30">
        <v>1273.5864686699999</v>
      </c>
      <c r="D13" s="30">
        <v>1343.4531386803653</v>
      </c>
      <c r="E13" s="30">
        <v>1341.88858312506</v>
      </c>
      <c r="F13" s="51">
        <f t="shared" si="3"/>
        <v>-8.4340115997120872E-3</v>
      </c>
      <c r="G13" s="51">
        <f t="shared" si="4"/>
        <v>-6.0000688330330239E-2</v>
      </c>
      <c r="H13" s="51">
        <f t="shared" si="5"/>
        <v>-5.8904709749432731E-2</v>
      </c>
    </row>
    <row r="14" spans="1:8" x14ac:dyDescent="0.35">
      <c r="F14" s="48"/>
      <c r="G14" s="48"/>
      <c r="H14" s="48"/>
    </row>
    <row r="15" spans="1:8" x14ac:dyDescent="0.35">
      <c r="A15" s="1" t="s">
        <v>117</v>
      </c>
      <c r="B15" s="1"/>
      <c r="C15" s="1"/>
      <c r="D15" s="1"/>
      <c r="E15" s="1"/>
      <c r="F15" s="77"/>
      <c r="G15" s="77"/>
      <c r="H15" s="77"/>
    </row>
    <row r="16" spans="1:8" x14ac:dyDescent="0.35">
      <c r="A16" t="s">
        <v>240</v>
      </c>
      <c r="B16" s="77">
        <f t="shared" ref="B16:B19" si="6">+B10/B4</f>
        <v>2.9944886145344841E-3</v>
      </c>
      <c r="C16" s="77">
        <f t="shared" ref="C16:E16" si="7">+C10/C4</f>
        <v>3.1479972607299802E-3</v>
      </c>
      <c r="D16" s="77">
        <f t="shared" si="7"/>
        <v>2.5851404847958524E-3</v>
      </c>
      <c r="E16" s="77">
        <f t="shared" si="7"/>
        <v>1.8343530222288461E-3</v>
      </c>
      <c r="F16" s="70">
        <f>(B16-C16)*100</f>
        <v>-1.535086461954961E-2</v>
      </c>
      <c r="G16" s="70">
        <f>(B16-D16)*100</f>
        <v>4.0934812973863165E-2</v>
      </c>
      <c r="H16" s="70">
        <f>(B16-E16)*100</f>
        <v>0.11601355923056379</v>
      </c>
    </row>
    <row r="17" spans="1:8" x14ac:dyDescent="0.35">
      <c r="A17" t="s">
        <v>241</v>
      </c>
      <c r="B17" s="77">
        <f t="shared" si="6"/>
        <v>6.92467423097404E-2</v>
      </c>
      <c r="C17" s="77">
        <f t="shared" ref="C17:E17" si="8">+C11/C5</f>
        <v>8.4341913014392048E-2</v>
      </c>
      <c r="D17" s="77">
        <f t="shared" si="8"/>
        <v>8.9087904920362948E-2</v>
      </c>
      <c r="E17" s="77">
        <f t="shared" si="8"/>
        <v>7.4821349893515174E-2</v>
      </c>
      <c r="F17" s="70">
        <f t="shared" ref="F17:F19" si="9">(B17-C17)*100</f>
        <v>-1.5095170704651648</v>
      </c>
      <c r="G17" s="70">
        <f t="shared" ref="G17:G19" si="10">(B17-D17)*100</f>
        <v>-1.9841162610622547</v>
      </c>
      <c r="H17" s="70">
        <f t="shared" ref="H17:H19" si="11">(B17-E17)*100</f>
        <v>-0.55746075837747733</v>
      </c>
    </row>
    <row r="18" spans="1:8" x14ac:dyDescent="0.35">
      <c r="A18" t="s">
        <v>242</v>
      </c>
      <c r="B18" s="77">
        <f t="shared" si="6"/>
        <v>0.44969617188063049</v>
      </c>
      <c r="C18" s="77">
        <f t="shared" ref="C18:E18" si="12">+C12/C6</f>
        <v>0.41506253915840763</v>
      </c>
      <c r="D18" s="77">
        <f t="shared" si="12"/>
        <v>0.45715873152123093</v>
      </c>
      <c r="E18" s="77">
        <f t="shared" si="12"/>
        <v>0.52340752330729068</v>
      </c>
      <c r="F18" s="70">
        <f t="shared" si="9"/>
        <v>3.4633632722222862</v>
      </c>
      <c r="G18" s="70">
        <f t="shared" si="10"/>
        <v>-0.74625596406004413</v>
      </c>
      <c r="H18" s="70">
        <f t="shared" si="11"/>
        <v>-7.3711351426660183</v>
      </c>
    </row>
    <row r="19" spans="1:8" x14ac:dyDescent="0.35">
      <c r="A19" s="26" t="s">
        <v>118</v>
      </c>
      <c r="B19" s="51">
        <f t="shared" si="6"/>
        <v>2.2838787543444022E-2</v>
      </c>
      <c r="C19" s="51">
        <f t="shared" ref="C19:E19" si="13">+C13/C7</f>
        <v>2.2662257019480124E-2</v>
      </c>
      <c r="D19" s="51">
        <f t="shared" si="13"/>
        <v>2.4213959144872024E-2</v>
      </c>
      <c r="E19" s="51">
        <f t="shared" si="13"/>
        <v>2.4424433268638992E-2</v>
      </c>
      <c r="F19" s="71">
        <f t="shared" si="9"/>
        <v>1.7653052396389771E-2</v>
      </c>
      <c r="G19" s="71">
        <f t="shared" si="10"/>
        <v>-0.13751716014280024</v>
      </c>
      <c r="H19" s="71">
        <f t="shared" si="11"/>
        <v>-0.15856457251949702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H49"/>
  <sheetViews>
    <sheetView showGridLines="0" zoomScale="85" zoomScaleNormal="85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2" sqref="B2"/>
    </sheetView>
  </sheetViews>
  <sheetFormatPr baseColWidth="10" defaultRowHeight="14.5" x14ac:dyDescent="0.35"/>
  <cols>
    <col min="1" max="1" width="43.26953125" customWidth="1"/>
    <col min="2" max="2" width="11.26953125" bestFit="1" customWidth="1"/>
    <col min="3" max="3" width="11.26953125" customWidth="1"/>
    <col min="4" max="5" width="11.26953125" bestFit="1" customWidth="1"/>
  </cols>
  <sheetData>
    <row r="1" spans="1:8" ht="15.5" x14ac:dyDescent="0.35">
      <c r="A1" s="19" t="s">
        <v>112</v>
      </c>
      <c r="B1" s="19"/>
      <c r="C1" s="19"/>
      <c r="D1" s="19"/>
      <c r="E1" s="19"/>
    </row>
    <row r="2" spans="1:8" ht="15" thickBot="1" x14ac:dyDescent="0.4">
      <c r="A2" s="20" t="s">
        <v>49</v>
      </c>
      <c r="B2" s="22">
        <f>MAX(Relevantes!$2:$2)</f>
        <v>44834</v>
      </c>
      <c r="C2" s="22">
        <f>EOMONTH(B2,-3)</f>
        <v>44742</v>
      </c>
      <c r="D2" s="22">
        <f>EOMONTH(B2,-MONTH(B2))</f>
        <v>44561</v>
      </c>
      <c r="E2" s="22">
        <f>EOMONTH(B2,-12)</f>
        <v>44469</v>
      </c>
      <c r="F2" s="23" t="s">
        <v>226</v>
      </c>
      <c r="G2" s="23" t="s">
        <v>247</v>
      </c>
      <c r="H2" s="23" t="s">
        <v>227</v>
      </c>
    </row>
    <row r="3" spans="1:8" x14ac:dyDescent="0.35">
      <c r="A3" s="1" t="s">
        <v>113</v>
      </c>
      <c r="B3" s="1"/>
      <c r="C3" s="1"/>
      <c r="D3" s="1"/>
      <c r="E3" s="1"/>
      <c r="F3" s="3"/>
      <c r="G3" s="3"/>
      <c r="H3" s="3"/>
    </row>
    <row r="4" spans="1:8" ht="15" thickBot="1" x14ac:dyDescent="0.4">
      <c r="A4" s="44" t="s">
        <v>103</v>
      </c>
      <c r="B4" s="41">
        <v>13.409507000000001</v>
      </c>
      <c r="C4" s="41">
        <v>13.056004999999999</v>
      </c>
      <c r="D4" s="41">
        <v>13.409678260000192</v>
      </c>
      <c r="E4" s="41">
        <v>12.845921625003484</v>
      </c>
      <c r="F4" s="49">
        <f>(B4-C4)/C4</f>
        <v>2.7075816836773764E-2</v>
      </c>
      <c r="G4" s="49">
        <f>(B4-D4)/D4</f>
        <v>-1.277137280027367E-5</v>
      </c>
      <c r="H4" s="49">
        <f t="shared" ref="H4:H13" si="0">(B4-E4)/E4</f>
        <v>4.3872708510033769E-2</v>
      </c>
    </row>
    <row r="5" spans="1:8" x14ac:dyDescent="0.35">
      <c r="A5" s="45" t="s">
        <v>104</v>
      </c>
      <c r="B5" s="46">
        <v>1937.9006819000001</v>
      </c>
      <c r="C5" s="46">
        <v>1948.7794941300003</v>
      </c>
      <c r="D5" s="46">
        <v>1947.15737683</v>
      </c>
      <c r="E5" s="46">
        <v>1848.9872088149964</v>
      </c>
      <c r="F5" s="50">
        <f t="shared" ref="F5:F13" si="1">(B5-C5)/C5</f>
        <v>-5.582372075839644E-3</v>
      </c>
      <c r="G5" s="50">
        <f t="shared" ref="G5:G13" si="2">(B5-D5)/D5</f>
        <v>-4.753953142231317E-3</v>
      </c>
      <c r="H5" s="50">
        <f t="shared" si="0"/>
        <v>4.8087662619357853E-2</v>
      </c>
    </row>
    <row r="6" spans="1:8" x14ac:dyDescent="0.35">
      <c r="A6" s="1" t="s">
        <v>105</v>
      </c>
      <c r="B6" s="13">
        <v>904.32068190000007</v>
      </c>
      <c r="C6" s="13">
        <v>920.47729444999993</v>
      </c>
      <c r="D6" s="13">
        <v>924.06590582999979</v>
      </c>
      <c r="E6" s="13">
        <v>840.09606194499816</v>
      </c>
      <c r="F6" s="48">
        <f t="shared" si="1"/>
        <v>-1.7552429209732653E-2</v>
      </c>
      <c r="G6" s="48">
        <f t="shared" si="2"/>
        <v>-2.1367765876249362E-2</v>
      </c>
      <c r="H6" s="48">
        <f t="shared" si="0"/>
        <v>7.6449138216775445E-2</v>
      </c>
    </row>
    <row r="7" spans="1:8" x14ac:dyDescent="0.35">
      <c r="A7" t="s">
        <v>106</v>
      </c>
      <c r="B7" s="12">
        <v>144.03604880000003</v>
      </c>
      <c r="C7" s="12">
        <v>151.11437180000001</v>
      </c>
      <c r="D7" s="12">
        <v>156.82366794000001</v>
      </c>
      <c r="E7" s="12">
        <v>153.74912015000007</v>
      </c>
      <c r="F7" s="77">
        <f t="shared" si="1"/>
        <v>-4.6840832646732958E-2</v>
      </c>
      <c r="G7" s="77">
        <f t="shared" si="2"/>
        <v>-8.1541385353213758E-2</v>
      </c>
      <c r="H7" s="77">
        <f t="shared" si="0"/>
        <v>-6.3174809329144849E-2</v>
      </c>
    </row>
    <row r="8" spans="1:8" x14ac:dyDescent="0.35">
      <c r="A8" t="s">
        <v>107</v>
      </c>
      <c r="B8" s="12">
        <v>621.40443863999997</v>
      </c>
      <c r="C8" s="12">
        <v>592.38020242999994</v>
      </c>
      <c r="D8" s="12">
        <v>598.50579215999971</v>
      </c>
      <c r="E8" s="12">
        <v>551.64965947499809</v>
      </c>
      <c r="F8" s="77">
        <f t="shared" si="1"/>
        <v>4.8995959167676177E-2</v>
      </c>
      <c r="G8" s="77">
        <f t="shared" si="2"/>
        <v>3.8259690682957856E-2</v>
      </c>
      <c r="H8" s="77">
        <f t="shared" si="0"/>
        <v>0.12644760667737404</v>
      </c>
    </row>
    <row r="9" spans="1:8" x14ac:dyDescent="0.35">
      <c r="A9" t="s">
        <v>108</v>
      </c>
      <c r="B9" s="12">
        <v>138.88019446000007</v>
      </c>
      <c r="C9" s="12">
        <v>176.98272022</v>
      </c>
      <c r="D9" s="12">
        <v>168.73644573000001</v>
      </c>
      <c r="E9" s="12">
        <v>134.69728231999997</v>
      </c>
      <c r="F9" s="77">
        <f t="shared" si="1"/>
        <v>-0.21528952494704703</v>
      </c>
      <c r="G9" s="77">
        <f t="shared" si="2"/>
        <v>-0.17694014556744772</v>
      </c>
      <c r="H9" s="77">
        <f t="shared" si="0"/>
        <v>3.1054168784658664E-2</v>
      </c>
    </row>
    <row r="10" spans="1:8" x14ac:dyDescent="0.35">
      <c r="A10" s="1" t="s">
        <v>109</v>
      </c>
      <c r="B10" s="13">
        <v>1033.58</v>
      </c>
      <c r="C10" s="13">
        <v>1028.3021996800003</v>
      </c>
      <c r="D10" s="13">
        <v>1023.0914710000001</v>
      </c>
      <c r="E10" s="13">
        <v>1008.8911468699981</v>
      </c>
      <c r="F10" s="48">
        <f t="shared" si="1"/>
        <v>5.132538199025591E-3</v>
      </c>
      <c r="G10" s="48">
        <f t="shared" si="2"/>
        <v>1.025179986081602E-2</v>
      </c>
      <c r="H10" s="48">
        <f t="shared" si="0"/>
        <v>2.4471275426092242E-2</v>
      </c>
    </row>
    <row r="11" spans="1:8" x14ac:dyDescent="0.35">
      <c r="A11" s="16" t="s">
        <v>110</v>
      </c>
      <c r="B11" s="12">
        <v>985.69823306000023</v>
      </c>
      <c r="C11" s="12">
        <v>973.15755251999769</v>
      </c>
      <c r="D11" s="12">
        <v>953.86196616000007</v>
      </c>
      <c r="E11" s="12">
        <v>939.33552271999804</v>
      </c>
      <c r="F11" s="77">
        <f t="shared" si="1"/>
        <v>1.288658810439108E-2</v>
      </c>
      <c r="G11" s="77">
        <f t="shared" si="2"/>
        <v>3.3376178136302774E-2</v>
      </c>
      <c r="H11" s="77">
        <f t="shared" si="0"/>
        <v>4.9356922227056274E-2</v>
      </c>
    </row>
    <row r="12" spans="1:8" x14ac:dyDescent="0.35">
      <c r="A12" t="s">
        <v>111</v>
      </c>
      <c r="B12" s="12">
        <v>47.881766939999693</v>
      </c>
      <c r="C12" s="12">
        <v>55.144647160002592</v>
      </c>
      <c r="D12" s="12">
        <v>69.229504840000033</v>
      </c>
      <c r="E12" s="12">
        <v>69.555624150000114</v>
      </c>
      <c r="F12" s="77">
        <f t="shared" si="1"/>
        <v>-0.13170598768960473</v>
      </c>
      <c r="G12" s="77">
        <f t="shared" si="2"/>
        <v>-0.30836184585370391</v>
      </c>
      <c r="H12" s="77">
        <f t="shared" si="0"/>
        <v>-0.31160466856367625</v>
      </c>
    </row>
    <row r="13" spans="1:8" x14ac:dyDescent="0.35">
      <c r="A13" s="26" t="s">
        <v>114</v>
      </c>
      <c r="B13" s="30">
        <v>1951.3101889000002</v>
      </c>
      <c r="C13" s="30">
        <v>1961.8354991300002</v>
      </c>
      <c r="D13" s="30">
        <v>1960.5670550900002</v>
      </c>
      <c r="E13" s="30">
        <v>1861.8331304399999</v>
      </c>
      <c r="F13" s="51">
        <f t="shared" si="1"/>
        <v>-5.3650319992005627E-3</v>
      </c>
      <c r="G13" s="51">
        <f t="shared" si="2"/>
        <v>-4.7215249108503686E-3</v>
      </c>
      <c r="H13" s="51">
        <f t="shared" si="0"/>
        <v>4.805858108178284E-2</v>
      </c>
    </row>
    <row r="14" spans="1:8" ht="11.25" customHeight="1" x14ac:dyDescent="0.35">
      <c r="F14" s="25"/>
      <c r="G14" s="25"/>
      <c r="H14" s="25"/>
    </row>
    <row r="15" spans="1:8" x14ac:dyDescent="0.35">
      <c r="A15" s="1" t="s">
        <v>282</v>
      </c>
      <c r="B15" s="1"/>
      <c r="C15" s="1"/>
      <c r="D15" s="1"/>
      <c r="E15" s="1"/>
      <c r="F15" s="77"/>
      <c r="G15" s="77"/>
      <c r="H15" s="77"/>
    </row>
    <row r="16" spans="1:8" ht="15" thickBot="1" x14ac:dyDescent="0.4">
      <c r="A16" s="44" t="s">
        <v>103</v>
      </c>
      <c r="B16" s="49">
        <f>+B4/(B4+'Credito Performing'!B3)</f>
        <v>2.2361128754104843E-3</v>
      </c>
      <c r="C16" s="49">
        <f>+C4/(C4+'Credito Performing'!C3)</f>
        <v>2.1883085938892498E-3</v>
      </c>
      <c r="D16" s="49">
        <f>+D4/(D4+'Credito Performing'!D3)</f>
        <v>2.4046525344337522E-3</v>
      </c>
      <c r="E16" s="49">
        <f>+E4/(E4+'Credito Performing'!E3)</f>
        <v>2.1669782294323893E-3</v>
      </c>
      <c r="F16" s="67">
        <f>(B16-C16)*100</f>
        <v>4.7804281521234525E-3</v>
      </c>
      <c r="G16" s="67">
        <f>(B16-D16)*100</f>
        <v>-1.6853965902326792E-2</v>
      </c>
      <c r="H16" s="67">
        <f t="shared" ref="H16:H25" si="3">(B16-E16)*100</f>
        <v>6.9134645978095009E-3</v>
      </c>
    </row>
    <row r="17" spans="1:8" x14ac:dyDescent="0.35">
      <c r="A17" s="45" t="s">
        <v>104</v>
      </c>
      <c r="B17" s="50">
        <f>+B5/(B5+'Credito Performing'!B4)</f>
        <v>3.9310658674261444E-2</v>
      </c>
      <c r="C17" s="50">
        <f>+C5/(C5+'Credito Performing'!C4)</f>
        <v>3.8795333316107669E-2</v>
      </c>
      <c r="D17" s="50">
        <f>+D5/(D5+'Credito Performing'!D4)</f>
        <v>3.9016472494323863E-2</v>
      </c>
      <c r="E17" s="50">
        <f>+E5/(E5+'Credito Performing'!E4)</f>
        <v>3.7724898485776356E-2</v>
      </c>
      <c r="F17" s="68">
        <f t="shared" ref="F17:F25" si="4">(B17-C17)*100</f>
        <v>5.153253581537745E-2</v>
      </c>
      <c r="G17" s="68">
        <f t="shared" ref="G17:G25" si="5">(B17-D17)*100</f>
        <v>2.9418617993758056E-2</v>
      </c>
      <c r="H17" s="68">
        <f t="shared" si="3"/>
        <v>0.15857601884850872</v>
      </c>
    </row>
    <row r="18" spans="1:8" x14ac:dyDescent="0.35">
      <c r="A18" s="1" t="s">
        <v>105</v>
      </c>
      <c r="B18" s="48">
        <f>+B6/(B6+'Credito Performing'!B5)</f>
        <v>6.5199474457993206E-2</v>
      </c>
      <c r="C18" s="48">
        <f>+C6/(C6+'Credito Performing'!C5)</f>
        <v>6.5079701295719064E-2</v>
      </c>
      <c r="D18" s="48">
        <f>+D6/(D6+'Credito Performing'!D5)</f>
        <v>6.1532885500288889E-2</v>
      </c>
      <c r="E18" s="48">
        <f>+E6/(E6+'Credito Performing'!E5)</f>
        <v>5.8852415176373282E-2</v>
      </c>
      <c r="F18" s="69">
        <f t="shared" si="4"/>
        <v>1.1977316227414214E-2</v>
      </c>
      <c r="G18" s="69">
        <f t="shared" si="5"/>
        <v>0.3666588957704317</v>
      </c>
      <c r="H18" s="69">
        <f t="shared" si="3"/>
        <v>0.63470592816199245</v>
      </c>
    </row>
    <row r="19" spans="1:8" x14ac:dyDescent="0.35">
      <c r="A19" t="s">
        <v>106</v>
      </c>
      <c r="B19" s="77">
        <f>+B7/(B7+'Credito Performing'!B6)</f>
        <v>0.16466466128565896</v>
      </c>
      <c r="C19" s="77">
        <f>+C7/(C7+'Credito Performing'!C6)</f>
        <v>0.16622273077904096</v>
      </c>
      <c r="D19" s="77">
        <f>+D7/(D7+'Credito Performing'!D6)</f>
        <v>0.15719327469636216</v>
      </c>
      <c r="E19" s="77">
        <f>+E7/(E7+'Credito Performing'!E6)</f>
        <v>0.14238147667079518</v>
      </c>
      <c r="F19" s="70">
        <f t="shared" si="4"/>
        <v>-0.15580694933819972</v>
      </c>
      <c r="G19" s="70">
        <f t="shared" si="5"/>
        <v>0.74713865892968023</v>
      </c>
      <c r="H19" s="70">
        <f t="shared" si="3"/>
        <v>2.2283184614863782</v>
      </c>
    </row>
    <row r="20" spans="1:8" x14ac:dyDescent="0.35">
      <c r="A20" t="s">
        <v>107</v>
      </c>
      <c r="B20" s="77">
        <f>+B8/(B8+'Credito Performing'!B7)</f>
        <v>8.7786898031955191E-2</v>
      </c>
      <c r="C20" s="77">
        <f>+C8/(C8+'Credito Performing'!C7)</f>
        <v>8.328980459488515E-2</v>
      </c>
      <c r="D20" s="77">
        <f>+D8/(D8+'Credito Performing'!D7)</f>
        <v>7.9421923210477516E-2</v>
      </c>
      <c r="E20" s="77">
        <f>+E8/(E8+'Credito Performing'!E7)</f>
        <v>7.2792769157244933E-2</v>
      </c>
      <c r="F20" s="70">
        <f t="shared" si="4"/>
        <v>0.44970934370700405</v>
      </c>
      <c r="G20" s="70">
        <f t="shared" si="5"/>
        <v>0.83649748214776753</v>
      </c>
      <c r="H20" s="70">
        <f t="shared" si="3"/>
        <v>1.4994128874710257</v>
      </c>
    </row>
    <row r="21" spans="1:8" x14ac:dyDescent="0.35">
      <c r="A21" t="s">
        <v>108</v>
      </c>
      <c r="B21" s="77">
        <f>+B9/(B9+'Credito Performing'!B8)</f>
        <v>2.3472252138508592E-2</v>
      </c>
      <c r="C21" s="77">
        <f>+C9/(C9+'Credito Performing'!C8)</f>
        <v>2.8907120423729532E-2</v>
      </c>
      <c r="D21" s="77">
        <f>+D9/(D9+'Credito Performing'!D8)</f>
        <v>2.6023481431085339E-2</v>
      </c>
      <c r="E21" s="77">
        <f>+E9/(E9+'Credito Performing'!E8)</f>
        <v>2.3982739138349397E-2</v>
      </c>
      <c r="F21" s="70">
        <f t="shared" si="4"/>
        <v>-0.54348682852209396</v>
      </c>
      <c r="G21" s="70">
        <f t="shared" si="5"/>
        <v>-0.2551229292576746</v>
      </c>
      <c r="H21" s="70">
        <f t="shared" si="3"/>
        <v>-5.1048699984080487E-2</v>
      </c>
    </row>
    <row r="22" spans="1:8" x14ac:dyDescent="0.35">
      <c r="A22" s="1" t="s">
        <v>109</v>
      </c>
      <c r="B22" s="48">
        <f>+B10/(B10+'Credito Performing'!B9)</f>
        <v>2.9174907434351163E-2</v>
      </c>
      <c r="C22" s="48">
        <f>+C10/(C10+'Credito Performing'!C9)</f>
        <v>2.8493925377996773E-2</v>
      </c>
      <c r="D22" s="48">
        <f>+D10/(D10+'Credito Performing'!D9)</f>
        <v>2.9324519280491547E-2</v>
      </c>
      <c r="E22" s="48">
        <f>+E10/(E10+'Credito Performing'!E9)</f>
        <v>2.9043068138281974E-2</v>
      </c>
      <c r="F22" s="69">
        <f t="shared" si="4"/>
        <v>6.8098205635439002E-2</v>
      </c>
      <c r="G22" s="69">
        <f t="shared" si="5"/>
        <v>-1.4961184614038434E-2</v>
      </c>
      <c r="H22" s="69">
        <f t="shared" si="3"/>
        <v>1.3183929606918818E-2</v>
      </c>
    </row>
    <row r="23" spans="1:8" x14ac:dyDescent="0.35">
      <c r="A23" s="16" t="s">
        <v>110</v>
      </c>
      <c r="B23" s="77">
        <f>+B11/(B11+'Credito Performing'!B10)</f>
        <v>3.0273170495080982E-2</v>
      </c>
      <c r="C23" s="77">
        <f>+C11/(C11+'Credito Performing'!C10)</f>
        <v>2.994241294117788E-2</v>
      </c>
      <c r="D23" s="77">
        <f>+D11/(D11+'Credito Performing'!D10)</f>
        <v>2.9767525063628838E-2</v>
      </c>
      <c r="E23" s="77">
        <f>+E11/(E11+'Credito Performing'!E10)</f>
        <v>2.9409257989122715E-2</v>
      </c>
      <c r="F23" s="70">
        <f t="shared" si="4"/>
        <v>3.3075755390310144E-2</v>
      </c>
      <c r="G23" s="70">
        <f t="shared" si="5"/>
        <v>5.0564543145214386E-2</v>
      </c>
      <c r="H23" s="70">
        <f t="shared" si="3"/>
        <v>8.6391250595826627E-2</v>
      </c>
    </row>
    <row r="24" spans="1:8" x14ac:dyDescent="0.35">
      <c r="A24" t="s">
        <v>111</v>
      </c>
      <c r="B24" s="77">
        <f>+B12/(B12+'Credito Performing'!B11)</f>
        <v>1.6701620864418735E-2</v>
      </c>
      <c r="C24" s="77">
        <f>+C12/(C12+'Credito Performing'!C11)</f>
        <v>1.537133849684553E-2</v>
      </c>
      <c r="D24" s="77">
        <f>+D12/(D12+'Credito Performing'!D11)</f>
        <v>2.4334679458487218E-2</v>
      </c>
      <c r="E24" s="77">
        <f>+E12/(E12+'Credito Performing'!E11)</f>
        <v>2.4862333371920124E-2</v>
      </c>
      <c r="F24" s="70">
        <f t="shared" si="4"/>
        <v>0.13302823675732048</v>
      </c>
      <c r="G24" s="70">
        <f t="shared" si="5"/>
        <v>-0.76330585940684836</v>
      </c>
      <c r="H24" s="70">
        <f t="shared" si="3"/>
        <v>-0.81607125075013887</v>
      </c>
    </row>
    <row r="25" spans="1:8" x14ac:dyDescent="0.35">
      <c r="A25" s="26" t="s">
        <v>116</v>
      </c>
      <c r="B25" s="51">
        <f>+B13/(B13+'Credito Performing'!B12)</f>
        <v>3.5289808275378066E-2</v>
      </c>
      <c r="C25" s="51">
        <f>+C13/(C13+'Credito Performing'!C12)</f>
        <v>3.4908992365200855E-2</v>
      </c>
      <c r="D25" s="51">
        <f>+D13/(D13+'Credito Performing'!D12)</f>
        <v>3.5336618156523676E-2</v>
      </c>
      <c r="E25" s="51">
        <f>+E13/(E13+'Credito Performing'!E12)</f>
        <v>3.3888222631621383E-2</v>
      </c>
      <c r="F25" s="71">
        <f t="shared" si="4"/>
        <v>3.80815910177211E-2</v>
      </c>
      <c r="G25" s="71">
        <f t="shared" si="5"/>
        <v>-4.6809881145609689E-3</v>
      </c>
      <c r="H25" s="71">
        <f t="shared" si="3"/>
        <v>0.14015856437566837</v>
      </c>
    </row>
    <row r="26" spans="1:8" ht="11.25" customHeight="1" x14ac:dyDescent="0.35">
      <c r="F26" s="25"/>
      <c r="G26" s="25"/>
      <c r="H26" s="25"/>
    </row>
    <row r="27" spans="1:8" x14ac:dyDescent="0.35">
      <c r="A27" s="1" t="s">
        <v>115</v>
      </c>
      <c r="B27" s="1"/>
      <c r="C27" s="1"/>
      <c r="D27" s="1"/>
      <c r="E27" s="1"/>
      <c r="F27" s="77"/>
      <c r="G27" s="77"/>
      <c r="H27" s="77"/>
    </row>
    <row r="28" spans="1:8" ht="15" thickBot="1" x14ac:dyDescent="0.4">
      <c r="A28" s="44" t="s">
        <v>103</v>
      </c>
      <c r="B28" s="41">
        <v>8.0205710000000003</v>
      </c>
      <c r="C28" s="41">
        <v>7.9830040000000002</v>
      </c>
      <c r="D28" s="41">
        <v>8.1842181000000007</v>
      </c>
      <c r="E28" s="41">
        <v>7.6536350899999999</v>
      </c>
      <c r="F28" s="49">
        <f t="shared" ref="F28:F37" si="6">(B28-C28)/C28</f>
        <v>4.7058726263947918E-3</v>
      </c>
      <c r="G28" s="49">
        <f t="shared" ref="G28:G37" si="7">(B28-D28)/D28</f>
        <v>-1.9995447091030037E-2</v>
      </c>
      <c r="H28" s="49">
        <f t="shared" ref="H28:H37" si="8">(B28-E28)/E28</f>
        <v>4.7942697252371942E-2</v>
      </c>
    </row>
    <row r="29" spans="1:8" x14ac:dyDescent="0.35">
      <c r="A29" s="45" t="s">
        <v>104</v>
      </c>
      <c r="B29" s="46">
        <v>1254.8244546200008</v>
      </c>
      <c r="C29" s="46">
        <v>1265.60346467</v>
      </c>
      <c r="D29" s="46">
        <v>1335.2689205803654</v>
      </c>
      <c r="E29" s="46">
        <v>1334.2349480350599</v>
      </c>
      <c r="F29" s="50">
        <f t="shared" si="6"/>
        <v>-8.5168936012748591E-3</v>
      </c>
      <c r="G29" s="50">
        <f t="shared" si="7"/>
        <v>-6.0245891086418729E-2</v>
      </c>
      <c r="H29" s="50">
        <f t="shared" si="8"/>
        <v>-5.95176235879653E-2</v>
      </c>
    </row>
    <row r="30" spans="1:8" x14ac:dyDescent="0.35">
      <c r="A30" s="1" t="s">
        <v>105</v>
      </c>
      <c r="B30" s="13">
        <v>661.57378064000079</v>
      </c>
      <c r="C30" s="13">
        <v>704.79362792000018</v>
      </c>
      <c r="D30" s="13">
        <v>680.28793916468908</v>
      </c>
      <c r="E30" s="13">
        <v>665.29989041797137</v>
      </c>
      <c r="F30" s="48">
        <f t="shared" si="6"/>
        <v>-6.1322698684933612E-2</v>
      </c>
      <c r="G30" s="48">
        <f t="shared" si="7"/>
        <v>-2.7509172877101126E-2</v>
      </c>
      <c r="H30" s="48">
        <f t="shared" si="8"/>
        <v>-5.6006469137243773E-3</v>
      </c>
    </row>
    <row r="31" spans="1:8" x14ac:dyDescent="0.35">
      <c r="A31" t="s">
        <v>106</v>
      </c>
      <c r="B31" s="12">
        <v>93.056672549999988</v>
      </c>
      <c r="C31" s="12">
        <v>96.176945380000035</v>
      </c>
      <c r="D31" s="12">
        <v>91.909797069999996</v>
      </c>
      <c r="E31" s="12">
        <v>88.467959766100492</v>
      </c>
      <c r="F31" s="77">
        <f t="shared" si="6"/>
        <v>-3.2443043576313321E-2</v>
      </c>
      <c r="G31" s="77">
        <f t="shared" si="7"/>
        <v>1.2478272355737141E-2</v>
      </c>
      <c r="H31" s="77">
        <f t="shared" si="8"/>
        <v>5.1868640308101885E-2</v>
      </c>
    </row>
    <row r="32" spans="1:8" x14ac:dyDescent="0.35">
      <c r="A32" t="s">
        <v>107</v>
      </c>
      <c r="B32" s="12">
        <v>427.07285356000079</v>
      </c>
      <c r="C32" s="12">
        <v>430.40797689000016</v>
      </c>
      <c r="D32" s="12">
        <v>422.33599413468897</v>
      </c>
      <c r="E32" s="12">
        <v>417.13804677795775</v>
      </c>
      <c r="F32" s="77">
        <f t="shared" si="6"/>
        <v>-7.7487488826252018E-3</v>
      </c>
      <c r="G32" s="77">
        <f t="shared" si="7"/>
        <v>1.1215855364203621E-2</v>
      </c>
      <c r="H32" s="77">
        <f t="shared" si="8"/>
        <v>2.3816592273903342E-2</v>
      </c>
    </row>
    <row r="33" spans="1:8" x14ac:dyDescent="0.35">
      <c r="A33" t="s">
        <v>108</v>
      </c>
      <c r="B33" s="12">
        <v>141.44425452999999</v>
      </c>
      <c r="C33" s="12">
        <v>178.20870564999996</v>
      </c>
      <c r="D33" s="12">
        <v>166.04214796000002</v>
      </c>
      <c r="E33" s="12">
        <v>159.69388387391314</v>
      </c>
      <c r="F33" s="77">
        <f t="shared" si="6"/>
        <v>-0.20629997275332307</v>
      </c>
      <c r="G33" s="77">
        <f t="shared" si="7"/>
        <v>-0.1481424670314776</v>
      </c>
      <c r="H33" s="77">
        <f t="shared" si="8"/>
        <v>-0.11427882459369702</v>
      </c>
    </row>
    <row r="34" spans="1:8" x14ac:dyDescent="0.35">
      <c r="A34" s="1" t="s">
        <v>109</v>
      </c>
      <c r="B34" s="13">
        <v>593.2506739800001</v>
      </c>
      <c r="C34" s="13">
        <v>560.80983674999982</v>
      </c>
      <c r="D34" s="13">
        <v>654.98098141567641</v>
      </c>
      <c r="E34" s="13">
        <v>668.93505761708855</v>
      </c>
      <c r="F34" s="48">
        <f t="shared" si="6"/>
        <v>5.7846412641406462E-2</v>
      </c>
      <c r="G34" s="48">
        <f t="shared" si="7"/>
        <v>-9.4247480747078144E-2</v>
      </c>
      <c r="H34" s="48">
        <f t="shared" si="8"/>
        <v>-0.11314160137860746</v>
      </c>
    </row>
    <row r="35" spans="1:8" x14ac:dyDescent="0.35">
      <c r="A35" s="16" t="s">
        <v>110</v>
      </c>
      <c r="B35" s="12">
        <v>499.10403541247172</v>
      </c>
      <c r="C35" s="12">
        <v>479.76278267811659</v>
      </c>
      <c r="D35" s="12">
        <v>566.84717878696483</v>
      </c>
      <c r="E35" s="12">
        <v>556.07697295886203</v>
      </c>
      <c r="F35" s="77">
        <f t="shared" si="6"/>
        <v>4.0314199918528477E-2</v>
      </c>
      <c r="G35" s="77">
        <f t="shared" si="7"/>
        <v>-0.11950865402463733</v>
      </c>
      <c r="H35" s="77">
        <f t="shared" si="8"/>
        <v>-0.10245512818709201</v>
      </c>
    </row>
    <row r="36" spans="1:8" x14ac:dyDescent="0.35">
      <c r="A36" t="s">
        <v>111</v>
      </c>
      <c r="B36" s="12">
        <v>94.146638567528342</v>
      </c>
      <c r="C36" s="12">
        <v>81.047054071883267</v>
      </c>
      <c r="D36" s="12">
        <v>88.133802628711578</v>
      </c>
      <c r="E36" s="12">
        <v>112.85808465822652</v>
      </c>
      <c r="F36" s="77">
        <f t="shared" si="6"/>
        <v>0.16162937253742288</v>
      </c>
      <c r="G36" s="77">
        <f t="shared" si="7"/>
        <v>6.8223947673601765E-2</v>
      </c>
      <c r="H36" s="77">
        <f t="shared" si="8"/>
        <v>-0.16579624000675658</v>
      </c>
    </row>
    <row r="37" spans="1:8" x14ac:dyDescent="0.35">
      <c r="A37" s="26" t="s">
        <v>116</v>
      </c>
      <c r="B37" s="30">
        <v>1262.8450256200008</v>
      </c>
      <c r="C37" s="30">
        <v>1273.5864686699999</v>
      </c>
      <c r="D37" s="30">
        <v>1343.4531386803653</v>
      </c>
      <c r="E37" s="30">
        <v>1341.88858312506</v>
      </c>
      <c r="F37" s="51">
        <f t="shared" si="6"/>
        <v>-8.4340115997120872E-3</v>
      </c>
      <c r="G37" s="51">
        <f t="shared" si="7"/>
        <v>-6.0000688330330239E-2</v>
      </c>
      <c r="H37" s="51">
        <f t="shared" si="8"/>
        <v>-5.8904709749432731E-2</v>
      </c>
    </row>
    <row r="38" spans="1:8" ht="10.5" customHeight="1" x14ac:dyDescent="0.35">
      <c r="F38" s="77"/>
      <c r="G38" s="77"/>
      <c r="H38" s="77"/>
    </row>
    <row r="39" spans="1:8" x14ac:dyDescent="0.35">
      <c r="A39" s="1" t="s">
        <v>117</v>
      </c>
      <c r="B39" s="1"/>
      <c r="C39" s="1"/>
      <c r="D39" s="1"/>
      <c r="E39" s="1"/>
      <c r="F39" s="77"/>
      <c r="G39" s="77"/>
      <c r="H39" s="77"/>
    </row>
    <row r="40" spans="1:8" ht="15" thickBot="1" x14ac:dyDescent="0.4">
      <c r="A40" s="44" t="s">
        <v>103</v>
      </c>
      <c r="B40" s="49">
        <f t="shared" ref="B40:D41" si="9">+B28/B4</f>
        <v>0.59812571782094592</v>
      </c>
      <c r="C40" s="49">
        <f t="shared" si="9"/>
        <v>0.61144308691671001</v>
      </c>
      <c r="D40" s="49">
        <f t="shared" si="9"/>
        <v>0.61032173489298047</v>
      </c>
      <c r="E40" s="49">
        <f t="shared" ref="E40" si="10">+E28/E4</f>
        <v>0.59580272349652641</v>
      </c>
      <c r="F40" s="67">
        <f>(B40-C40)*100</f>
        <v>-1.3317369095764087</v>
      </c>
      <c r="G40" s="67">
        <f>(B40-D40)*100</f>
        <v>-1.2196017072034548</v>
      </c>
      <c r="H40" s="67">
        <f t="shared" ref="H40:H49" si="11">(B40-E40)*100</f>
        <v>0.23229943244195139</v>
      </c>
    </row>
    <row r="41" spans="1:8" x14ac:dyDescent="0.35">
      <c r="A41" s="45" t="s">
        <v>104</v>
      </c>
      <c r="B41" s="50">
        <f t="shared" si="9"/>
        <v>0.64751742250780242</v>
      </c>
      <c r="C41" s="50">
        <f t="shared" si="9"/>
        <v>0.64943389874645996</v>
      </c>
      <c r="D41" s="50">
        <f t="shared" si="9"/>
        <v>0.68575295272444914</v>
      </c>
      <c r="E41" s="50">
        <f t="shared" ref="E41" si="12">+E29/E5</f>
        <v>0.72160312503738855</v>
      </c>
      <c r="F41" s="68">
        <f t="shared" ref="F41:F49" si="13">(B41-C41)*100</f>
        <v>-0.19164762386575385</v>
      </c>
      <c r="G41" s="68">
        <f t="shared" ref="G41:G49" si="14">(B41-D41)*100</f>
        <v>-3.8235530216646718</v>
      </c>
      <c r="H41" s="68">
        <f t="shared" si="11"/>
        <v>-7.4085702529586133</v>
      </c>
    </row>
    <row r="42" spans="1:8" x14ac:dyDescent="0.35">
      <c r="A42" s="1" t="s">
        <v>105</v>
      </c>
      <c r="B42" s="48">
        <f t="shared" ref="B42:C42" si="15">+B30/B6</f>
        <v>0.73156988873683393</v>
      </c>
      <c r="C42" s="48">
        <f t="shared" si="15"/>
        <v>0.76568279540357997</v>
      </c>
      <c r="D42" s="48">
        <f t="shared" ref="D42:E49" si="16">+D30/D6</f>
        <v>0.73618984844338742</v>
      </c>
      <c r="E42" s="48">
        <f t="shared" si="16"/>
        <v>0.7919331140270589</v>
      </c>
      <c r="F42" s="69">
        <f t="shared" si="13"/>
        <v>-3.4112906666746046</v>
      </c>
      <c r="G42" s="69">
        <f t="shared" si="14"/>
        <v>-0.46199597065534892</v>
      </c>
      <c r="H42" s="69">
        <f t="shared" si="11"/>
        <v>-6.0363225290224971</v>
      </c>
    </row>
    <row r="43" spans="1:8" x14ac:dyDescent="0.35">
      <c r="A43" t="s">
        <v>106</v>
      </c>
      <c r="B43" s="77">
        <f t="shared" ref="B43:C43" si="17">+B31/B7</f>
        <v>0.64606515747466109</v>
      </c>
      <c r="C43" s="77">
        <f t="shared" si="17"/>
        <v>0.63645134631728006</v>
      </c>
      <c r="D43" s="77">
        <f t="shared" si="16"/>
        <v>0.58607095649085472</v>
      </c>
      <c r="E43" s="77">
        <f t="shared" si="16"/>
        <v>0.57540465714398725</v>
      </c>
      <c r="F43" s="70">
        <f t="shared" si="13"/>
        <v>0.96138111573810248</v>
      </c>
      <c r="G43" s="70">
        <f t="shared" si="14"/>
        <v>5.9994200983806367</v>
      </c>
      <c r="H43" s="70">
        <f t="shared" si="11"/>
        <v>7.0660500330673841</v>
      </c>
    </row>
    <row r="44" spans="1:8" x14ac:dyDescent="0.35">
      <c r="A44" t="s">
        <v>107</v>
      </c>
      <c r="B44" s="77">
        <f t="shared" ref="B44:C44" si="18">+B32/B8</f>
        <v>0.68727036210859471</v>
      </c>
      <c r="C44" s="77">
        <f t="shared" si="18"/>
        <v>0.72657387118007266</v>
      </c>
      <c r="D44" s="77">
        <f t="shared" si="16"/>
        <v>0.70565063808402551</v>
      </c>
      <c r="E44" s="77">
        <f t="shared" si="16"/>
        <v>0.7561647861342754</v>
      </c>
      <c r="F44" s="70">
        <f t="shared" si="13"/>
        <v>-3.9303509071477949</v>
      </c>
      <c r="G44" s="70">
        <f t="shared" si="14"/>
        <v>-1.8380275975430793</v>
      </c>
      <c r="H44" s="70">
        <f t="shared" si="11"/>
        <v>-6.8894424025680685</v>
      </c>
    </row>
    <row r="45" spans="1:8" x14ac:dyDescent="0.35">
      <c r="A45" t="s">
        <v>108</v>
      </c>
      <c r="B45" s="77">
        <f t="shared" ref="B45:C45" si="19">+B33/B9</f>
        <v>1.018462388247436</v>
      </c>
      <c r="C45" s="77">
        <f t="shared" si="19"/>
        <v>1.006927147624785</v>
      </c>
      <c r="D45" s="77">
        <f t="shared" si="16"/>
        <v>0.98403250845812407</v>
      </c>
      <c r="E45" s="77">
        <f t="shared" si="16"/>
        <v>1.1855761387563024</v>
      </c>
      <c r="F45" s="70">
        <f t="shared" si="13"/>
        <v>1.1535240622650988</v>
      </c>
      <c r="G45" s="70">
        <f t="shared" si="14"/>
        <v>3.442987978931189</v>
      </c>
      <c r="H45" s="70">
        <f t="shared" si="11"/>
        <v>-16.711375050886645</v>
      </c>
    </row>
    <row r="46" spans="1:8" x14ac:dyDescent="0.35">
      <c r="A46" s="1" t="s">
        <v>109</v>
      </c>
      <c r="B46" s="48">
        <f t="shared" ref="B46:C46" si="20">+B34/B10</f>
        <v>0.57397654170939849</v>
      </c>
      <c r="C46" s="48">
        <f t="shared" si="20"/>
        <v>0.54537453768407718</v>
      </c>
      <c r="D46" s="48">
        <f t="shared" si="16"/>
        <v>0.64019787084675672</v>
      </c>
      <c r="E46" s="48">
        <f t="shared" si="16"/>
        <v>0.66303987272799902</v>
      </c>
      <c r="F46" s="69">
        <f t="shared" si="13"/>
        <v>2.8602004025321315</v>
      </c>
      <c r="G46" s="69">
        <f t="shared" si="14"/>
        <v>-6.6221329137358236</v>
      </c>
      <c r="H46" s="69">
        <f t="shared" si="11"/>
        <v>-8.9063331018600529</v>
      </c>
    </row>
    <row r="47" spans="1:8" x14ac:dyDescent="0.35">
      <c r="A47" s="16" t="s">
        <v>110</v>
      </c>
      <c r="B47" s="77">
        <f t="shared" ref="B47:C47" si="21">+B35/B11</f>
        <v>0.50634567322196966</v>
      </c>
      <c r="C47" s="77">
        <f t="shared" si="21"/>
        <v>0.49299600196881566</v>
      </c>
      <c r="D47" s="77">
        <f t="shared" si="16"/>
        <v>0.59426541669225375</v>
      </c>
      <c r="E47" s="77">
        <f t="shared" si="16"/>
        <v>0.59198971986990456</v>
      </c>
      <c r="F47" s="70">
        <f t="shared" si="13"/>
        <v>1.3349671253154005</v>
      </c>
      <c r="G47" s="70">
        <f t="shared" si="14"/>
        <v>-8.7919743470284075</v>
      </c>
      <c r="H47" s="70">
        <f t="shared" si="11"/>
        <v>-8.5644046647934893</v>
      </c>
    </row>
    <row r="48" spans="1:8" x14ac:dyDescent="0.35">
      <c r="A48" t="s">
        <v>111</v>
      </c>
      <c r="B48" s="77">
        <f t="shared" ref="B48:C48" si="22">+B36/B12</f>
        <v>1.9662315028077981</v>
      </c>
      <c r="C48" s="77">
        <f t="shared" si="22"/>
        <v>1.4697175201198522</v>
      </c>
      <c r="D48" s="77">
        <f t="shared" si="16"/>
        <v>1.2730670663094048</v>
      </c>
      <c r="E48" s="77">
        <f t="shared" si="16"/>
        <v>1.6225587224239773</v>
      </c>
      <c r="F48" s="70">
        <f t="shared" si="13"/>
        <v>49.651398268794587</v>
      </c>
      <c r="G48" s="70">
        <f t="shared" si="14"/>
        <v>69.316443649839329</v>
      </c>
      <c r="H48" s="70">
        <f t="shared" si="11"/>
        <v>34.367278038382089</v>
      </c>
    </row>
    <row r="49" spans="1:8" x14ac:dyDescent="0.35">
      <c r="A49" s="26" t="s">
        <v>118</v>
      </c>
      <c r="B49" s="51">
        <f t="shared" ref="B49:C49" si="23">+B37/B13</f>
        <v>0.64717800009638471</v>
      </c>
      <c r="C49" s="51">
        <f t="shared" si="23"/>
        <v>0.64918107009215975</v>
      </c>
      <c r="D49" s="51">
        <f t="shared" si="16"/>
        <v>0.68523702629425953</v>
      </c>
      <c r="E49" s="51">
        <f t="shared" si="16"/>
        <v>0.72073515138702926</v>
      </c>
      <c r="F49" s="71">
        <f t="shared" si="13"/>
        <v>-0.2003069995775042</v>
      </c>
      <c r="G49" s="71">
        <f t="shared" si="14"/>
        <v>-3.8059026197874823</v>
      </c>
      <c r="H49" s="71">
        <f t="shared" si="11"/>
        <v>-7.3557151290644551</v>
      </c>
    </row>
  </sheetData>
  <pageMargins left="0.70866141732283472" right="0.70866141732283472" top="0.74803149606299213" bottom="0.74803149606299213" header="0.31496062992125984" footer="0.31496062992125984"/>
  <pageSetup paperSize="9" scale="61" orientation="portrait" horizontalDpi="4294967294" verticalDpi="4294967294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I62"/>
  <sheetViews>
    <sheetView showGridLines="0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" sqref="B1"/>
    </sheetView>
  </sheetViews>
  <sheetFormatPr baseColWidth="10" defaultRowHeight="14.5" x14ac:dyDescent="0.35"/>
  <cols>
    <col min="1" max="1" width="32.7265625" customWidth="1"/>
    <col min="2" max="6" width="11.453125" customWidth="1"/>
    <col min="8" max="9" width="10.7265625" customWidth="1"/>
    <col min="10" max="10" width="8.54296875" customWidth="1"/>
  </cols>
  <sheetData>
    <row r="1" spans="1:9" ht="15.5" x14ac:dyDescent="0.35">
      <c r="A1" s="19" t="s">
        <v>119</v>
      </c>
      <c r="B1" s="132">
        <f>MAX(Relevantes!$2:$2)</f>
        <v>44834</v>
      </c>
      <c r="C1" s="132">
        <f>EOMONTH(B1,-3)</f>
        <v>44742</v>
      </c>
      <c r="D1" s="132">
        <f t="shared" ref="D1:G1" si="0">EOMONTH(C1,-3)</f>
        <v>44651</v>
      </c>
      <c r="E1" s="132">
        <f t="shared" si="0"/>
        <v>44561</v>
      </c>
      <c r="F1" s="132">
        <f t="shared" si="0"/>
        <v>44469</v>
      </c>
      <c r="G1" s="132">
        <f t="shared" si="0"/>
        <v>44377</v>
      </c>
    </row>
    <row r="2" spans="1:9" ht="15" thickBot="1" x14ac:dyDescent="0.4">
      <c r="A2" s="20" t="s">
        <v>49</v>
      </c>
      <c r="B2" s="22" t="s">
        <v>249</v>
      </c>
      <c r="C2" s="22" t="s">
        <v>248</v>
      </c>
      <c r="D2" s="22" t="s">
        <v>246</v>
      </c>
      <c r="E2" s="22" t="s">
        <v>229</v>
      </c>
      <c r="F2" s="22" t="s">
        <v>220</v>
      </c>
      <c r="G2" s="22" t="s">
        <v>120</v>
      </c>
    </row>
    <row r="3" spans="1:9" x14ac:dyDescent="0.35">
      <c r="A3" s="1" t="s">
        <v>121</v>
      </c>
      <c r="B3" s="1"/>
      <c r="C3" s="1"/>
      <c r="D3" s="2"/>
      <c r="E3" s="2"/>
      <c r="F3" s="2"/>
      <c r="G3" s="2"/>
    </row>
    <row r="4" spans="1:9" x14ac:dyDescent="0.35">
      <c r="A4" s="33" t="s">
        <v>122</v>
      </c>
      <c r="B4" s="34">
        <f>+C7</f>
        <v>1961.8354991300002</v>
      </c>
      <c r="C4" s="34">
        <f>+D7</f>
        <v>1958.7960433799999</v>
      </c>
      <c r="D4" s="34">
        <f t="shared" ref="D4:F4" si="1">+E7</f>
        <v>1960.5670550900002</v>
      </c>
      <c r="E4" s="34">
        <f t="shared" si="1"/>
        <v>1861.8331304399999</v>
      </c>
      <c r="F4" s="34">
        <f t="shared" si="1"/>
        <v>1785.3021247299998</v>
      </c>
      <c r="G4" s="34">
        <v>1984.6111480499999</v>
      </c>
    </row>
    <row r="5" spans="1:9" x14ac:dyDescent="0.35">
      <c r="A5" t="s">
        <v>221</v>
      </c>
      <c r="B5" s="12">
        <v>119.26837703999988</v>
      </c>
      <c r="C5" s="12">
        <v>165.27834275499981</v>
      </c>
      <c r="D5" s="12">
        <v>141.78239336999991</v>
      </c>
      <c r="E5" s="12">
        <v>241.87083764000002</v>
      </c>
      <c r="F5" s="12">
        <v>279.49554093000006</v>
      </c>
      <c r="G5" s="12">
        <v>131.8441633649997</v>
      </c>
    </row>
    <row r="6" spans="1:9" x14ac:dyDescent="0.35">
      <c r="A6" t="s">
        <v>125</v>
      </c>
      <c r="B6" s="12">
        <v>-129.79412952000013</v>
      </c>
      <c r="C6" s="12">
        <v>-162.23888700499936</v>
      </c>
      <c r="D6" s="74">
        <v>-143.55340507999989</v>
      </c>
      <c r="E6" s="74">
        <v>-143.13691298999993</v>
      </c>
      <c r="F6" s="74">
        <v>-202.96453521999999</v>
      </c>
      <c r="G6" s="74">
        <v>-331.15318668499975</v>
      </c>
    </row>
    <row r="7" spans="1:9" x14ac:dyDescent="0.35">
      <c r="A7" s="26" t="s">
        <v>123</v>
      </c>
      <c r="B7" s="30">
        <f>+'Dudosos (I)'!B13</f>
        <v>1951.3101889000002</v>
      </c>
      <c r="C7" s="30">
        <f>+'Dudosos (I)'!C13</f>
        <v>1961.8354991300002</v>
      </c>
      <c r="D7" s="30">
        <v>1958.7960433799999</v>
      </c>
      <c r="E7" s="30">
        <f>+'Dudosos (I)'!D13</f>
        <v>1960.5670550900002</v>
      </c>
      <c r="F7" s="30">
        <v>1861.8331304399999</v>
      </c>
      <c r="G7" s="30">
        <v>1785.3021247299998</v>
      </c>
    </row>
    <row r="8" spans="1:9" x14ac:dyDescent="0.35">
      <c r="F8" s="12"/>
      <c r="G8" s="12"/>
    </row>
    <row r="9" spans="1:9" ht="15" customHeight="1" thickBot="1" x14ac:dyDescent="0.4">
      <c r="B9" s="22">
        <v>44834</v>
      </c>
      <c r="C9" s="22">
        <v>44742</v>
      </c>
      <c r="D9" s="22">
        <v>44651</v>
      </c>
      <c r="E9" s="22">
        <v>44561</v>
      </c>
      <c r="F9" s="22">
        <v>44469</v>
      </c>
      <c r="G9" s="22" t="s">
        <v>226</v>
      </c>
      <c r="H9" s="22" t="s">
        <v>247</v>
      </c>
      <c r="I9" s="22" t="s">
        <v>227</v>
      </c>
    </row>
    <row r="10" spans="1:9" x14ac:dyDescent="0.35">
      <c r="A10" s="106" t="s">
        <v>23</v>
      </c>
      <c r="B10" s="32">
        <v>0.42856944983082462</v>
      </c>
      <c r="C10" s="32">
        <v>0.4413028862864859</v>
      </c>
      <c r="D10" s="32">
        <v>0.46280156823915353</v>
      </c>
      <c r="E10" s="32">
        <v>0.46042909169423146</v>
      </c>
      <c r="F10" s="32">
        <v>0.47572094743658561</v>
      </c>
      <c r="G10" s="101">
        <f>(B10-C10)*100</f>
        <v>-1.2733436455661273</v>
      </c>
      <c r="H10" s="101">
        <f>(B10-E10)*100</f>
        <v>-3.185964186340684</v>
      </c>
      <c r="I10" s="101">
        <f>(B10-F10)*100</f>
        <v>-4.7151497605760984</v>
      </c>
    </row>
    <row r="11" spans="1:9" x14ac:dyDescent="0.35">
      <c r="A11" s="107" t="s">
        <v>126</v>
      </c>
      <c r="B11" s="107"/>
      <c r="C11" s="107"/>
      <c r="D11" s="89"/>
      <c r="E11" s="89"/>
      <c r="F11" s="89"/>
      <c r="G11" s="89"/>
    </row>
    <row r="13" spans="1:9" x14ac:dyDescent="0.35">
      <c r="F13" s="129"/>
      <c r="G13" s="129"/>
    </row>
    <row r="62" spans="1:4" x14ac:dyDescent="0.35">
      <c r="A62" s="76"/>
      <c r="B62" s="76"/>
      <c r="C62" s="76"/>
      <c r="D62" s="76"/>
    </row>
  </sheetData>
  <pageMargins left="0.70866141732283472" right="0.70866141732283472" top="0.74803149606299213" bottom="0.74803149606299213" header="0.31496062992125984" footer="0.31496062992125984"/>
  <pageSetup paperSize="9" scale="62" orientation="portrait" horizontalDpi="4294967294" verticalDpi="4294967294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H22"/>
  <sheetViews>
    <sheetView showGridLines="0" zoomScale="85" zoomScaleNormal="85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2" sqref="B2"/>
    </sheetView>
  </sheetViews>
  <sheetFormatPr baseColWidth="10" defaultColWidth="10.7265625" defaultRowHeight="14.5" x14ac:dyDescent="0.35"/>
  <cols>
    <col min="1" max="1" width="52" customWidth="1"/>
    <col min="2" max="3" width="11.26953125" customWidth="1"/>
    <col min="4" max="5" width="11.26953125" bestFit="1" customWidth="1"/>
    <col min="6" max="8" width="10.81640625" customWidth="1"/>
  </cols>
  <sheetData>
    <row r="1" spans="1:8" ht="15.5" x14ac:dyDescent="0.35">
      <c r="A1" s="19" t="s">
        <v>127</v>
      </c>
      <c r="B1" s="19"/>
      <c r="C1" s="19"/>
      <c r="D1" s="19"/>
      <c r="E1" s="19"/>
    </row>
    <row r="2" spans="1:8" ht="15" thickBot="1" x14ac:dyDescent="0.4">
      <c r="A2" s="20" t="s">
        <v>49</v>
      </c>
      <c r="B2" s="22">
        <f>MAX(Relevantes!$2:$2)</f>
        <v>44834</v>
      </c>
      <c r="C2" s="22">
        <f>EOMONTH(B2,-3)</f>
        <v>44742</v>
      </c>
      <c r="D2" s="22">
        <f>EOMONTH(B2,-MONTH(B2))</f>
        <v>44561</v>
      </c>
      <c r="E2" s="22">
        <f>EOMONTH(B2,-12)</f>
        <v>44469</v>
      </c>
      <c r="F2" s="23" t="s">
        <v>226</v>
      </c>
      <c r="G2" s="23" t="s">
        <v>247</v>
      </c>
      <c r="H2" s="23" t="s">
        <v>227</v>
      </c>
    </row>
    <row r="3" spans="1:8" x14ac:dyDescent="0.35">
      <c r="A3" s="52" t="s">
        <v>128</v>
      </c>
      <c r="B3" s="52"/>
      <c r="C3" s="52"/>
      <c r="D3" s="52"/>
      <c r="E3" s="52"/>
      <c r="F3" s="77"/>
      <c r="G3" s="77"/>
      <c r="H3" s="77"/>
    </row>
    <row r="4" spans="1:8" x14ac:dyDescent="0.35">
      <c r="A4" s="4" t="s">
        <v>222</v>
      </c>
      <c r="B4" s="12">
        <v>260.60395417000046</v>
      </c>
      <c r="C4" s="12">
        <v>262.18304441000026</v>
      </c>
      <c r="D4" s="12">
        <v>244.6780130599989</v>
      </c>
      <c r="E4" s="12">
        <v>265.65017912999912</v>
      </c>
      <c r="F4" s="77">
        <f>(B4-C4)/C4</f>
        <v>-6.0228541611196968E-3</v>
      </c>
      <c r="G4" s="77">
        <f>(B4-D4)/D4</f>
        <v>6.5089383842986612E-2</v>
      </c>
      <c r="H4" s="77">
        <f>(B4-E4)/E4</f>
        <v>-1.8995752144888346E-2</v>
      </c>
    </row>
    <row r="5" spans="1:8" x14ac:dyDescent="0.35">
      <c r="A5" s="4" t="s">
        <v>223</v>
      </c>
      <c r="B5" s="12">
        <v>551.41600875999723</v>
      </c>
      <c r="C5" s="12">
        <v>567.50567679000164</v>
      </c>
      <c r="D5" s="12">
        <v>702.17818755999951</v>
      </c>
      <c r="E5" s="12">
        <v>698.20288995000021</v>
      </c>
      <c r="F5" s="77">
        <f t="shared" ref="F5:F8" si="0">(B5-C5)/C5</f>
        <v>-2.8351554333364313E-2</v>
      </c>
      <c r="G5" s="77">
        <f t="shared" ref="G5:G8" si="1">(B5-D5)/D5</f>
        <v>-0.21470643986234619</v>
      </c>
      <c r="H5" s="77">
        <f>(B5-E5)/E5</f>
        <v>-0.21023528161064287</v>
      </c>
    </row>
    <row r="6" spans="1:8" x14ac:dyDescent="0.35">
      <c r="A6" s="4" t="s">
        <v>224</v>
      </c>
      <c r="B6" s="12">
        <v>910.65374063999059</v>
      </c>
      <c r="C6" s="12">
        <v>946.66358475998959</v>
      </c>
      <c r="D6" s="12">
        <v>1050.0603096599984</v>
      </c>
      <c r="E6" s="12">
        <v>1090.0659266100006</v>
      </c>
      <c r="F6" s="77">
        <f t="shared" si="0"/>
        <v>-3.8038691568693522E-2</v>
      </c>
      <c r="G6" s="77">
        <f t="shared" si="1"/>
        <v>-0.13276053550214334</v>
      </c>
      <c r="H6" s="77">
        <f>(B6-E6)/E6</f>
        <v>-0.16458838093211894</v>
      </c>
    </row>
    <row r="7" spans="1:8" x14ac:dyDescent="0.35">
      <c r="A7" s="4" t="s">
        <v>225</v>
      </c>
      <c r="B7" s="12">
        <v>164.06679445000009</v>
      </c>
      <c r="C7" s="12">
        <v>166.95014469</v>
      </c>
      <c r="D7" s="12">
        <v>211.6433104000026</v>
      </c>
      <c r="E7" s="12">
        <v>269.06320344999961</v>
      </c>
      <c r="F7" s="77">
        <f t="shared" si="0"/>
        <v>-1.7270726212030775E-2</v>
      </c>
      <c r="G7" s="77">
        <f t="shared" si="1"/>
        <v>-0.22479574648536554</v>
      </c>
      <c r="H7" s="77">
        <f>(B7-E7)/E7</f>
        <v>-0.39022953586260689</v>
      </c>
    </row>
    <row r="8" spans="1:8" x14ac:dyDescent="0.35">
      <c r="A8" s="26" t="s">
        <v>129</v>
      </c>
      <c r="B8" s="30">
        <v>1886.7404980199885</v>
      </c>
      <c r="C8" s="30">
        <v>1943.3024506499914</v>
      </c>
      <c r="D8" s="30">
        <v>2208.5598206799996</v>
      </c>
      <c r="E8" s="30">
        <v>2322.9821991399995</v>
      </c>
      <c r="F8" s="51">
        <f t="shared" si="0"/>
        <v>-2.910609854430235E-2</v>
      </c>
      <c r="G8" s="51">
        <f t="shared" si="1"/>
        <v>-0.14571456007060982</v>
      </c>
      <c r="H8" s="51">
        <f>(B8-E8)/E8</f>
        <v>-0.18779382006522208</v>
      </c>
    </row>
    <row r="9" spans="1:8" x14ac:dyDescent="0.35">
      <c r="F9" s="77"/>
      <c r="G9" s="77"/>
      <c r="H9" s="77"/>
    </row>
    <row r="10" spans="1:8" x14ac:dyDescent="0.35">
      <c r="A10" s="1" t="s">
        <v>130</v>
      </c>
      <c r="B10" s="52"/>
      <c r="C10" s="52"/>
      <c r="D10" s="52"/>
      <c r="E10" s="52"/>
      <c r="F10" s="77"/>
      <c r="G10" s="77"/>
      <c r="H10" s="77"/>
    </row>
    <row r="11" spans="1:8" x14ac:dyDescent="0.35">
      <c r="A11" s="4" t="s">
        <v>222</v>
      </c>
      <c r="B11" s="12">
        <v>168.04108705000007</v>
      </c>
      <c r="C11" s="12">
        <v>168.5830950400001</v>
      </c>
      <c r="D11" s="12">
        <v>157.90107702999944</v>
      </c>
      <c r="E11" s="12">
        <v>174.03119676490107</v>
      </c>
      <c r="F11" s="77">
        <f>(B11-C11)/C11</f>
        <v>-3.2150791268331313E-3</v>
      </c>
      <c r="G11" s="77">
        <f>(B11-D11)/D11</f>
        <v>6.4217484837510899E-2</v>
      </c>
      <c r="H11" s="77">
        <f>(B11-E11)/E11</f>
        <v>-3.4419746725025638E-2</v>
      </c>
    </row>
    <row r="12" spans="1:8" x14ac:dyDescent="0.35">
      <c r="A12" s="4" t="s">
        <v>223</v>
      </c>
      <c r="B12" s="12">
        <v>307.37174838999977</v>
      </c>
      <c r="C12" s="12">
        <v>313.35541816000017</v>
      </c>
      <c r="D12" s="12">
        <v>388.90756927101847</v>
      </c>
      <c r="E12" s="12">
        <v>373.75130433597911</v>
      </c>
      <c r="F12" s="77">
        <f t="shared" ref="F12:F15" si="2">(B12-C12)/C12</f>
        <v>-1.909547249936213E-2</v>
      </c>
      <c r="G12" s="77">
        <f t="shared" ref="G12:G15" si="3">(B12-D12)/D12</f>
        <v>-0.20965346864771034</v>
      </c>
      <c r="H12" s="77">
        <f>(B12-E12)/E12</f>
        <v>-0.1776035432542819</v>
      </c>
    </row>
    <row r="13" spans="1:8" x14ac:dyDescent="0.35">
      <c r="A13" s="4" t="s">
        <v>224</v>
      </c>
      <c r="B13" s="12">
        <v>641.25647250102077</v>
      </c>
      <c r="C13" s="12">
        <v>664.86171107102007</v>
      </c>
      <c r="D13" s="12">
        <v>732.47435812786694</v>
      </c>
      <c r="E13" s="12">
        <v>755.1762858416364</v>
      </c>
      <c r="F13" s="77">
        <f>(B13-C13)/C13</f>
        <v>-3.5503982522882574E-2</v>
      </c>
      <c r="G13" s="77">
        <f t="shared" si="3"/>
        <v>-0.12453389612162014</v>
      </c>
      <c r="H13" s="77">
        <f>(B13-E13)/E13</f>
        <v>-0.15085194738822227</v>
      </c>
    </row>
    <row r="14" spans="1:8" x14ac:dyDescent="0.35">
      <c r="A14" s="4" t="s">
        <v>225</v>
      </c>
      <c r="B14" s="12">
        <v>79.915777019999965</v>
      </c>
      <c r="C14" s="12">
        <v>78.979358189999971</v>
      </c>
      <c r="D14" s="12">
        <v>106.0961863600002</v>
      </c>
      <c r="E14" s="12">
        <v>138.78954430051436</v>
      </c>
      <c r="F14" s="77">
        <f t="shared" si="2"/>
        <v>1.185650088149943E-2</v>
      </c>
      <c r="G14" s="77">
        <f t="shared" si="3"/>
        <v>-0.24676107820846832</v>
      </c>
      <c r="H14" s="77">
        <f>(B14-E14)/E14</f>
        <v>-0.42419454273182022</v>
      </c>
    </row>
    <row r="15" spans="1:8" x14ac:dyDescent="0.35">
      <c r="A15" s="26" t="s">
        <v>131</v>
      </c>
      <c r="B15" s="30">
        <v>1196.5850849610206</v>
      </c>
      <c r="C15" s="30">
        <v>1225.7795824610203</v>
      </c>
      <c r="D15" s="30">
        <v>1385.3791907888851</v>
      </c>
      <c r="E15" s="30">
        <v>1441.7483312430309</v>
      </c>
      <c r="F15" s="51">
        <f t="shared" si="2"/>
        <v>-2.3817085810309665E-2</v>
      </c>
      <c r="G15" s="51">
        <f t="shared" si="3"/>
        <v>-0.13627612359353999</v>
      </c>
      <c r="H15" s="51">
        <f>(B15-E15)/E15</f>
        <v>-0.17004579854144039</v>
      </c>
    </row>
    <row r="16" spans="1:8" x14ac:dyDescent="0.35">
      <c r="B16" s="25"/>
      <c r="C16" s="25"/>
      <c r="D16" s="25"/>
      <c r="E16" s="25"/>
      <c r="F16" s="77"/>
      <c r="G16" s="77"/>
      <c r="H16" s="77"/>
    </row>
    <row r="17" spans="1:8" x14ac:dyDescent="0.35">
      <c r="A17" s="1" t="s">
        <v>132</v>
      </c>
      <c r="B17" s="52"/>
      <c r="C17" s="52"/>
      <c r="D17" s="52"/>
      <c r="E17" s="52"/>
      <c r="F17" s="77"/>
      <c r="G17" s="77"/>
      <c r="H17" s="77"/>
    </row>
    <row r="18" spans="1:8" x14ac:dyDescent="0.35">
      <c r="A18" s="4" t="s">
        <v>222</v>
      </c>
      <c r="B18" s="25">
        <f>+B11/B4</f>
        <v>0.6448140343272819</v>
      </c>
      <c r="C18" s="25">
        <f>+C11/C4</f>
        <v>0.64299770192755434</v>
      </c>
      <c r="D18" s="25">
        <f t="shared" ref="D18:E18" si="4">+D11/D4</f>
        <v>0.64534232175279116</v>
      </c>
      <c r="E18" s="25">
        <f t="shared" si="4"/>
        <v>0.65511417057895827</v>
      </c>
      <c r="F18" s="70">
        <f>(B18-C18)*100</f>
        <v>0.18163323997275604</v>
      </c>
      <c r="G18" s="70">
        <f>(B18-D18)*100</f>
        <v>-5.2828742550925512E-2</v>
      </c>
      <c r="H18" s="70">
        <f>(B18-E18)*100</f>
        <v>-1.0300136251676362</v>
      </c>
    </row>
    <row r="19" spans="1:8" x14ac:dyDescent="0.35">
      <c r="A19" s="4" t="s">
        <v>223</v>
      </c>
      <c r="B19" s="25">
        <f t="shared" ref="B19:B22" si="5">+B12/B5</f>
        <v>0.55742260563164525</v>
      </c>
      <c r="C19" s="25">
        <f t="shared" ref="C19:E19" si="6">+C12/C5</f>
        <v>0.5521626143591043</v>
      </c>
      <c r="D19" s="25">
        <f t="shared" si="6"/>
        <v>0.55385880131428489</v>
      </c>
      <c r="E19" s="25">
        <f t="shared" si="6"/>
        <v>0.53530472261829831</v>
      </c>
      <c r="F19" s="70">
        <f t="shared" ref="F19:F22" si="7">(B19-C19)*100</f>
        <v>0.52599912725409537</v>
      </c>
      <c r="G19" s="70">
        <f t="shared" ref="G19:G22" si="8">(B19-D19)*100</f>
        <v>0.3563804317360364</v>
      </c>
      <c r="H19" s="70">
        <f>(B19-E19)*100</f>
        <v>2.211788301334694</v>
      </c>
    </row>
    <row r="20" spans="1:8" x14ac:dyDescent="0.35">
      <c r="A20" s="4" t="s">
        <v>224</v>
      </c>
      <c r="B20" s="25">
        <f t="shared" si="5"/>
        <v>0.70417156805434922</v>
      </c>
      <c r="C20" s="25">
        <f>+C13/C6</f>
        <v>0.70232099530857561</v>
      </c>
      <c r="D20" s="25">
        <f t="shared" ref="D20:E20" si="9">+D13/D6</f>
        <v>0.69755456080902301</v>
      </c>
      <c r="E20" s="25">
        <f t="shared" si="9"/>
        <v>0.69278037906400902</v>
      </c>
      <c r="F20" s="70">
        <f t="shared" si="7"/>
        <v>0.18505727457736043</v>
      </c>
      <c r="G20" s="70">
        <f t="shared" si="8"/>
        <v>0.66170072453262119</v>
      </c>
      <c r="H20" s="70">
        <f>(B20-E20)*100</f>
        <v>1.1391188990340195</v>
      </c>
    </row>
    <row r="21" spans="1:8" x14ac:dyDescent="0.35">
      <c r="A21" s="4" t="s">
        <v>225</v>
      </c>
      <c r="B21" s="25">
        <f t="shared" si="5"/>
        <v>0.48709293850654567</v>
      </c>
      <c r="C21" s="25">
        <f t="shared" ref="C21:E21" si="10">+C14/C7</f>
        <v>0.47307151686901583</v>
      </c>
      <c r="D21" s="25">
        <f t="shared" si="10"/>
        <v>0.50129714073872711</v>
      </c>
      <c r="E21" s="25">
        <f t="shared" si="10"/>
        <v>0.51582506459790156</v>
      </c>
      <c r="F21" s="70">
        <f t="shared" si="7"/>
        <v>1.4021421637529841</v>
      </c>
      <c r="G21" s="70">
        <f t="shared" si="8"/>
        <v>-1.420420223218144</v>
      </c>
      <c r="H21" s="70">
        <f>(B21-E21)*100</f>
        <v>-2.8732126091355892</v>
      </c>
    </row>
    <row r="22" spans="1:8" x14ac:dyDescent="0.35">
      <c r="A22" s="26" t="s">
        <v>133</v>
      </c>
      <c r="B22" s="32">
        <f t="shared" si="5"/>
        <v>0.63420755860000821</v>
      </c>
      <c r="C22" s="32">
        <f t="shared" ref="C22:E22" si="11">+C15/C8</f>
        <v>0.6307713871564482</v>
      </c>
      <c r="D22" s="32">
        <f t="shared" si="11"/>
        <v>0.62727718661581777</v>
      </c>
      <c r="E22" s="32">
        <f t="shared" si="11"/>
        <v>0.62064544953327072</v>
      </c>
      <c r="F22" s="71">
        <f t="shared" si="7"/>
        <v>0.34361714435600099</v>
      </c>
      <c r="G22" s="71">
        <f t="shared" si="8"/>
        <v>0.69303719841904421</v>
      </c>
      <c r="H22" s="71">
        <f>(B22-E22)*100</f>
        <v>1.3562109066737493</v>
      </c>
    </row>
  </sheetData>
  <pageMargins left="0.70866141732283472" right="0.70866141732283472" top="0.74803149606299213" bottom="0.74803149606299213" header="0.31496062992125984" footer="0.31496062992125984"/>
  <pageSetup paperSize="9" scale="58"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15</vt:i4>
      </vt:variant>
    </vt:vector>
  </HeadingPairs>
  <TitlesOfParts>
    <vt:vector size="15" baseType="lpstr">
      <vt:lpstr>MENU</vt:lpstr>
      <vt:lpstr>Relevantes</vt:lpstr>
      <vt:lpstr>Balance</vt:lpstr>
      <vt:lpstr>Recursos</vt:lpstr>
      <vt:lpstr>Credito Performing</vt:lpstr>
      <vt:lpstr>Riesgo de crédito por Stage</vt:lpstr>
      <vt:lpstr>Dudosos (I)</vt:lpstr>
      <vt:lpstr>Dudosos (II)</vt:lpstr>
      <vt:lpstr>Adjudicados (I)</vt:lpstr>
      <vt:lpstr>Adjudicados (II)</vt:lpstr>
      <vt:lpstr>Resultados</vt:lpstr>
      <vt:lpstr>Rend &amp; Costes</vt:lpstr>
      <vt:lpstr>Comisiones</vt:lpstr>
      <vt:lpstr>Liquidez</vt:lpstr>
      <vt:lpstr>Solvencia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2021-07-27T10:28:31Z</dcterms:created>
  <dcterms:modified xsi:type="dcterms:W3CDTF">2022-10-27T11:04:31Z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